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0" windowWidth="15480" windowHeight="9645" tabRatio="590" activeTab="2"/>
  </bookViews>
  <sheets>
    <sheet name="ריכוז מינהלים לספר" sheetId="7" r:id="rId1"/>
    <sheet name="ריכוז מחלקות לספר" sheetId="8" r:id="rId2"/>
    <sheet name="תקציב מפורט לספר " sheetId="6" r:id="rId3"/>
  </sheets>
  <definedNames>
    <definedName name="_xlnm._FilterDatabase" localSheetId="1" hidden="1">'ריכוז מחלקות לספר'!$E$1:$AZ$50</definedName>
    <definedName name="_xlnm._FilterDatabase" localSheetId="0" hidden="1">'ריכוז מינהלים לספר'!$E$1:$AZ$13</definedName>
    <definedName name="_xlnm._FilterDatabase" localSheetId="2" hidden="1">'תקציב מפורט לספר '!$E$1:$AZ$529</definedName>
    <definedName name="_xlnm.Print_Area" localSheetId="1">'ריכוז מחלקות לספר'!$E$1:$AN$50</definedName>
    <definedName name="_xlnm.Print_Area" localSheetId="0">'ריכוז מינהלים לספר'!$E$1:$AN$13</definedName>
    <definedName name="_xlnm.Print_Area" localSheetId="2">'תקציב מפורט לספר '!$E$519:$AH$529</definedName>
    <definedName name="_xlnm.Print_Titles" localSheetId="1">'ריכוז מחלקות לספר'!$1:$3</definedName>
    <definedName name="_xlnm.Print_Titles" localSheetId="0">'ריכוז מינהלים לספר'!$1:$3</definedName>
    <definedName name="_xlnm.Print_Titles" localSheetId="2">'תקציב מפורט לספר '!$1:$3</definedName>
  </definedNames>
  <calcPr calcId="145621"/>
</workbook>
</file>

<file path=xl/calcChain.xml><?xml version="1.0" encoding="utf-8"?>
<calcChain xmlns="http://schemas.openxmlformats.org/spreadsheetml/2006/main">
  <c r="AM527" i="6" l="1"/>
  <c r="AL527" i="6"/>
  <c r="AJ527" i="6"/>
  <c r="AI527" i="6"/>
  <c r="W527" i="6"/>
  <c r="Z527" i="6" s="1"/>
  <c r="AK527" i="6" s="1"/>
  <c r="AA36" i="8"/>
  <c r="AB36" i="8"/>
  <c r="AF36" i="8"/>
  <c r="AG36" i="8"/>
  <c r="AA46" i="8"/>
  <c r="AB46" i="8"/>
  <c r="AF46" i="8"/>
  <c r="AG46" i="8"/>
  <c r="AU49" i="8"/>
  <c r="AT49" i="8"/>
  <c r="AS49" i="8"/>
  <c r="AR49" i="8"/>
  <c r="AQ49" i="8"/>
  <c r="AP49" i="8"/>
  <c r="AO49" i="8"/>
  <c r="V49" i="8"/>
  <c r="T49" i="8"/>
  <c r="S49" i="8"/>
  <c r="O49" i="8"/>
  <c r="M49" i="8"/>
  <c r="I49" i="8"/>
  <c r="G49" i="8"/>
  <c r="L49" i="8"/>
  <c r="K49" i="8"/>
  <c r="N49" i="8"/>
  <c r="AV47" i="8"/>
  <c r="AU47" i="8"/>
  <c r="AT47" i="8"/>
  <c r="AS47" i="8"/>
  <c r="AS48" i="8" s="1"/>
  <c r="AR47" i="8"/>
  <c r="AQ47" i="8"/>
  <c r="AP47" i="8"/>
  <c r="AO47" i="8"/>
  <c r="AO48" i="8" s="1"/>
  <c r="V47" i="8"/>
  <c r="S47" i="8"/>
  <c r="O47" i="8"/>
  <c r="O48" i="8" s="1"/>
  <c r="M47" i="8"/>
  <c r="K47" i="8"/>
  <c r="J47" i="8"/>
  <c r="I47" i="8"/>
  <c r="G47" i="8"/>
  <c r="L47" i="8"/>
  <c r="L48" i="8" s="1"/>
  <c r="H47" i="8"/>
  <c r="AV46" i="8"/>
  <c r="AU46" i="8"/>
  <c r="AT46" i="8"/>
  <c r="AS46" i="8"/>
  <c r="AR46" i="8"/>
  <c r="AQ46" i="8"/>
  <c r="AP46" i="8"/>
  <c r="AO46" i="8"/>
  <c r="V46" i="8"/>
  <c r="U46" i="8"/>
  <c r="S46" i="8"/>
  <c r="P46" i="8"/>
  <c r="O46" i="8"/>
  <c r="N46" i="8"/>
  <c r="M46" i="8"/>
  <c r="M48" i="8" s="1"/>
  <c r="L46" i="8"/>
  <c r="K46" i="8"/>
  <c r="J46" i="8"/>
  <c r="I46" i="8"/>
  <c r="H46" i="8"/>
  <c r="G46" i="8"/>
  <c r="AU45" i="8"/>
  <c r="AT45" i="8"/>
  <c r="AS45" i="8"/>
  <c r="AR45" i="8"/>
  <c r="AQ45" i="8"/>
  <c r="AP45" i="8"/>
  <c r="AO45" i="8"/>
  <c r="U45" i="8"/>
  <c r="T45" i="8"/>
  <c r="S45" i="8"/>
  <c r="O45" i="8"/>
  <c r="M45" i="8"/>
  <c r="K45" i="8"/>
  <c r="J45" i="8"/>
  <c r="I45" i="8"/>
  <c r="G45" i="8"/>
  <c r="AU44" i="8"/>
  <c r="AT44" i="8"/>
  <c r="AS44" i="8"/>
  <c r="AR44" i="8"/>
  <c r="AQ44" i="8"/>
  <c r="AW44" i="8" s="1"/>
  <c r="AP44" i="8"/>
  <c r="AO44" i="8"/>
  <c r="S44" i="8"/>
  <c r="P44" i="8"/>
  <c r="O44" i="8"/>
  <c r="M44" i="8"/>
  <c r="K44" i="8"/>
  <c r="I44" i="8"/>
  <c r="G44" i="8"/>
  <c r="J44" i="8"/>
  <c r="T44" i="8"/>
  <c r="AU43" i="8"/>
  <c r="AT43" i="8"/>
  <c r="AS43" i="8"/>
  <c r="AR43" i="8"/>
  <c r="AQ43" i="8"/>
  <c r="AP43" i="8"/>
  <c r="AO43" i="8"/>
  <c r="V43" i="8"/>
  <c r="T43" i="8"/>
  <c r="S43" i="8"/>
  <c r="O43" i="8"/>
  <c r="N43" i="8"/>
  <c r="M43" i="8"/>
  <c r="J43" i="8"/>
  <c r="I43" i="8"/>
  <c r="G43" i="8"/>
  <c r="U43" i="8"/>
  <c r="L43" i="8"/>
  <c r="AU41" i="8"/>
  <c r="AT41" i="8"/>
  <c r="AT42" i="8" s="1"/>
  <c r="AS41" i="8"/>
  <c r="AS42" i="8" s="1"/>
  <c r="AR41" i="8"/>
  <c r="AQ41" i="8"/>
  <c r="AP41" i="8"/>
  <c r="AO41" i="8"/>
  <c r="V41" i="8"/>
  <c r="V42" i="8" s="1"/>
  <c r="T41" i="8"/>
  <c r="S41" i="8"/>
  <c r="S42" i="8" s="1"/>
  <c r="P41" i="8"/>
  <c r="P42" i="8" s="1"/>
  <c r="O41" i="8"/>
  <c r="M41" i="8"/>
  <c r="K41" i="8"/>
  <c r="J41" i="8"/>
  <c r="J42" i="8" s="1"/>
  <c r="I41" i="8"/>
  <c r="I42" i="8" s="1"/>
  <c r="H41" i="8"/>
  <c r="G41" i="8"/>
  <c r="L41" i="8"/>
  <c r="U41" i="8"/>
  <c r="AU40" i="8"/>
  <c r="AT40" i="8"/>
  <c r="AS40" i="8"/>
  <c r="AR40" i="8"/>
  <c r="AQ40" i="8"/>
  <c r="AP40" i="8"/>
  <c r="AP42" i="8" s="1"/>
  <c r="AO40" i="8"/>
  <c r="T40" i="8"/>
  <c r="S40" i="8"/>
  <c r="P40" i="8"/>
  <c r="O40" i="8"/>
  <c r="M40" i="8"/>
  <c r="M42" i="8" s="1"/>
  <c r="I40" i="8"/>
  <c r="G40" i="8"/>
  <c r="K40" i="8"/>
  <c r="K42" i="8" s="1"/>
  <c r="AU39" i="8"/>
  <c r="AT39" i="8"/>
  <c r="AS39" i="8"/>
  <c r="AR39" i="8"/>
  <c r="AQ39" i="8"/>
  <c r="AP39" i="8"/>
  <c r="AO39" i="8"/>
  <c r="V39" i="8"/>
  <c r="T39" i="8"/>
  <c r="S39" i="8"/>
  <c r="P39" i="8"/>
  <c r="O39" i="8"/>
  <c r="N39" i="8"/>
  <c r="M39" i="8"/>
  <c r="I39" i="8"/>
  <c r="G39" i="8"/>
  <c r="G42" i="8" s="1"/>
  <c r="H39" i="8"/>
  <c r="K39" i="8"/>
  <c r="AX37" i="8"/>
  <c r="AU37" i="8"/>
  <c r="AT37" i="8"/>
  <c r="AS37" i="8"/>
  <c r="AR37" i="8"/>
  <c r="AQ37" i="8"/>
  <c r="AP37" i="8"/>
  <c r="AO37" i="8"/>
  <c r="V37" i="8"/>
  <c r="T37" i="8"/>
  <c r="S37" i="8"/>
  <c r="S38" i="8" s="1"/>
  <c r="P37" i="8"/>
  <c r="O37" i="8"/>
  <c r="N37" i="8"/>
  <c r="M37" i="8"/>
  <c r="L37" i="8"/>
  <c r="J37" i="8"/>
  <c r="I37" i="8"/>
  <c r="G37" i="8"/>
  <c r="K37" i="8"/>
  <c r="H37" i="8"/>
  <c r="AU36" i="8"/>
  <c r="AT36" i="8"/>
  <c r="AS36" i="8"/>
  <c r="AR36" i="8"/>
  <c r="AQ36" i="8"/>
  <c r="AP36" i="8"/>
  <c r="AW36" i="8" s="1"/>
  <c r="AO36" i="8"/>
  <c r="V36" i="8"/>
  <c r="S36" i="8"/>
  <c r="O36" i="8"/>
  <c r="M36" i="8"/>
  <c r="L36" i="8"/>
  <c r="K36" i="8"/>
  <c r="J36" i="8"/>
  <c r="I36" i="8"/>
  <c r="H36" i="8"/>
  <c r="G36" i="8"/>
  <c r="N36" i="8"/>
  <c r="AU35" i="8"/>
  <c r="AT35" i="8"/>
  <c r="AS35" i="8"/>
  <c r="AR35" i="8"/>
  <c r="AQ35" i="8"/>
  <c r="AP35" i="8"/>
  <c r="AO35" i="8"/>
  <c r="V35" i="8"/>
  <c r="T35" i="8"/>
  <c r="S35" i="8"/>
  <c r="P35" i="8"/>
  <c r="O35" i="8"/>
  <c r="N35" i="8"/>
  <c r="M35" i="8"/>
  <c r="L35" i="8"/>
  <c r="K35" i="8"/>
  <c r="J35" i="8"/>
  <c r="I35" i="8"/>
  <c r="G35" i="8"/>
  <c r="U35" i="8"/>
  <c r="H35" i="8"/>
  <c r="AU34" i="8"/>
  <c r="AT34" i="8"/>
  <c r="AS34" i="8"/>
  <c r="AR34" i="8"/>
  <c r="AQ34" i="8"/>
  <c r="AP34" i="8"/>
  <c r="AW34" i="8" s="1"/>
  <c r="AO34" i="8"/>
  <c r="V34" i="8"/>
  <c r="T34" i="8"/>
  <c r="S34" i="8"/>
  <c r="P34" i="8"/>
  <c r="O34" i="8"/>
  <c r="M34" i="8"/>
  <c r="I34" i="8"/>
  <c r="G34" i="8"/>
  <c r="K34" i="8"/>
  <c r="L34" i="8"/>
  <c r="AU33" i="8"/>
  <c r="AT33" i="8"/>
  <c r="AS33" i="8"/>
  <c r="AR33" i="8"/>
  <c r="AQ33" i="8"/>
  <c r="AP33" i="8"/>
  <c r="AO33" i="8"/>
  <c r="S33" i="8"/>
  <c r="O33" i="8"/>
  <c r="M33" i="8"/>
  <c r="I33" i="8"/>
  <c r="G33" i="8"/>
  <c r="T33" i="8"/>
  <c r="N33" i="8"/>
  <c r="L33" i="8"/>
  <c r="K33" i="8"/>
  <c r="AW32" i="8"/>
  <c r="AU32" i="8"/>
  <c r="AT32" i="8"/>
  <c r="AS32" i="8"/>
  <c r="AR32" i="8"/>
  <c r="AQ32" i="8"/>
  <c r="AQ38" i="8" s="1"/>
  <c r="AP32" i="8"/>
  <c r="AO32" i="8"/>
  <c r="V32" i="8"/>
  <c r="T32" i="8"/>
  <c r="S32" i="8"/>
  <c r="P32" i="8"/>
  <c r="O32" i="8"/>
  <c r="N32" i="8"/>
  <c r="M32" i="8"/>
  <c r="L32" i="8"/>
  <c r="K32" i="8"/>
  <c r="I32" i="8"/>
  <c r="H32" i="8"/>
  <c r="G32" i="8"/>
  <c r="AV32" i="8"/>
  <c r="U32" i="8"/>
  <c r="J32" i="8"/>
  <c r="AU31" i="8"/>
  <c r="AT31" i="8"/>
  <c r="AS31" i="8"/>
  <c r="AR31" i="8"/>
  <c r="AQ31" i="8"/>
  <c r="AP31" i="8"/>
  <c r="AO31" i="8"/>
  <c r="V31" i="8"/>
  <c r="T31" i="8"/>
  <c r="S31" i="8"/>
  <c r="O31" i="8"/>
  <c r="M31" i="8"/>
  <c r="K31" i="8"/>
  <c r="I31" i="8"/>
  <c r="G31" i="8"/>
  <c r="N31" i="8"/>
  <c r="L31" i="8"/>
  <c r="AU30" i="8"/>
  <c r="AT30" i="8"/>
  <c r="AS30" i="8"/>
  <c r="AR30" i="8"/>
  <c r="AQ30" i="8"/>
  <c r="AP30" i="8"/>
  <c r="AO30" i="8"/>
  <c r="S30" i="8"/>
  <c r="P30" i="8"/>
  <c r="O30" i="8"/>
  <c r="M30" i="8"/>
  <c r="I30" i="8"/>
  <c r="G30" i="8"/>
  <c r="L30" i="8"/>
  <c r="AU29" i="8"/>
  <c r="AT29" i="8"/>
  <c r="AS29" i="8"/>
  <c r="AR29" i="8"/>
  <c r="AQ29" i="8"/>
  <c r="AP29" i="8"/>
  <c r="AO29" i="8"/>
  <c r="V29" i="8"/>
  <c r="T29" i="8"/>
  <c r="S29" i="8"/>
  <c r="P29" i="8"/>
  <c r="O29" i="8"/>
  <c r="N29" i="8"/>
  <c r="M29" i="8"/>
  <c r="L29" i="8"/>
  <c r="K29" i="8"/>
  <c r="I29" i="8"/>
  <c r="G29" i="8"/>
  <c r="AU28" i="8"/>
  <c r="AT28" i="8"/>
  <c r="AS28" i="8"/>
  <c r="AR28" i="8"/>
  <c r="AQ28" i="8"/>
  <c r="AP28" i="8"/>
  <c r="AW28" i="8" s="1"/>
  <c r="AO28" i="8"/>
  <c r="V28" i="8"/>
  <c r="T28" i="8"/>
  <c r="S28" i="8"/>
  <c r="P28" i="8"/>
  <c r="O28" i="8"/>
  <c r="N28" i="8"/>
  <c r="M28" i="8"/>
  <c r="L28" i="8"/>
  <c r="K28" i="8"/>
  <c r="J28" i="8"/>
  <c r="I28" i="8"/>
  <c r="G28" i="8"/>
  <c r="H28" i="8"/>
  <c r="V27" i="8"/>
  <c r="T27" i="8"/>
  <c r="S27" i="8"/>
  <c r="P27" i="8"/>
  <c r="O27" i="8"/>
  <c r="M27" i="8"/>
  <c r="L27" i="8"/>
  <c r="I27" i="8"/>
  <c r="H27" i="8"/>
  <c r="G27" i="8"/>
  <c r="K27" i="8"/>
  <c r="J27" i="8"/>
  <c r="AU26" i="8"/>
  <c r="AT26" i="8"/>
  <c r="AS26" i="8"/>
  <c r="AR26" i="8"/>
  <c r="AQ26" i="8"/>
  <c r="AP26" i="8"/>
  <c r="AO26" i="8"/>
  <c r="V26" i="8"/>
  <c r="T26" i="8"/>
  <c r="S26" i="8"/>
  <c r="P26" i="8"/>
  <c r="O26" i="8"/>
  <c r="M26" i="8"/>
  <c r="L26" i="8"/>
  <c r="I26" i="8"/>
  <c r="G26" i="8"/>
  <c r="V25" i="8"/>
  <c r="U25" i="8"/>
  <c r="T25" i="8"/>
  <c r="S25" i="8"/>
  <c r="P25" i="8"/>
  <c r="O25" i="8"/>
  <c r="N25" i="8"/>
  <c r="M25" i="8"/>
  <c r="L25" i="8"/>
  <c r="K25" i="8"/>
  <c r="J25" i="8"/>
  <c r="I25" i="8"/>
  <c r="H25" i="8"/>
  <c r="G25" i="8"/>
  <c r="R25" i="8"/>
  <c r="Q25" i="8"/>
  <c r="AU24" i="8"/>
  <c r="AT24" i="8"/>
  <c r="AS24" i="8"/>
  <c r="AR24" i="8"/>
  <c r="AQ24" i="8"/>
  <c r="AP24" i="8"/>
  <c r="AO24" i="8"/>
  <c r="V24" i="8"/>
  <c r="S24" i="8"/>
  <c r="P24" i="8"/>
  <c r="O24" i="8"/>
  <c r="N24" i="8"/>
  <c r="M24" i="8"/>
  <c r="K24" i="8"/>
  <c r="I24" i="8"/>
  <c r="G24" i="8"/>
  <c r="L24" i="8"/>
  <c r="AU23" i="8"/>
  <c r="AS23" i="8"/>
  <c r="AR23" i="8"/>
  <c r="AQ23" i="8"/>
  <c r="AP23" i="8"/>
  <c r="AO23" i="8"/>
  <c r="V23" i="8"/>
  <c r="T23" i="8"/>
  <c r="S23" i="8"/>
  <c r="P23" i="8"/>
  <c r="O23" i="8"/>
  <c r="N23" i="8"/>
  <c r="M23" i="8"/>
  <c r="I23" i="8"/>
  <c r="G23" i="8"/>
  <c r="K23" i="8"/>
  <c r="L23" i="8"/>
  <c r="AU22" i="8"/>
  <c r="AT22" i="8"/>
  <c r="AS22" i="8"/>
  <c r="AR22" i="8"/>
  <c r="AQ22" i="8"/>
  <c r="AP22" i="8"/>
  <c r="AO22" i="8"/>
  <c r="V22" i="8"/>
  <c r="S22" i="8"/>
  <c r="N22" i="8"/>
  <c r="M22" i="8"/>
  <c r="K22" i="8"/>
  <c r="I22" i="8"/>
  <c r="G22" i="8"/>
  <c r="T22" i="8"/>
  <c r="H22" i="8"/>
  <c r="L22" i="8"/>
  <c r="AU20" i="8"/>
  <c r="AT20" i="8"/>
  <c r="AS20" i="8"/>
  <c r="AS21" i="8" s="1"/>
  <c r="AR20" i="8"/>
  <c r="AQ20" i="8"/>
  <c r="AP20" i="8"/>
  <c r="AW20" i="8" s="1"/>
  <c r="AO20" i="8"/>
  <c r="T20" i="8"/>
  <c r="S20" i="8"/>
  <c r="G20" i="8"/>
  <c r="G21" i="8" s="1"/>
  <c r="H20" i="8"/>
  <c r="H21" i="8" s="1"/>
  <c r="V20" i="8"/>
  <c r="U20" i="8"/>
  <c r="P20" i="8"/>
  <c r="M20" i="8"/>
  <c r="L20" i="8"/>
  <c r="K20" i="8"/>
  <c r="AU19" i="8"/>
  <c r="AT19" i="8"/>
  <c r="AT21" i="8" s="1"/>
  <c r="AS19" i="8"/>
  <c r="AR19" i="8"/>
  <c r="AQ19" i="8"/>
  <c r="AQ21" i="8" s="1"/>
  <c r="AP19" i="8"/>
  <c r="AO19" i="8"/>
  <c r="T19" i="8"/>
  <c r="S19" i="8"/>
  <c r="S21" i="8" s="1"/>
  <c r="P19" i="8"/>
  <c r="P21" i="8" s="1"/>
  <c r="O19" i="8"/>
  <c r="N19" i="8"/>
  <c r="N21" i="8" s="1"/>
  <c r="M19" i="8"/>
  <c r="M21" i="8" s="1"/>
  <c r="L19" i="8"/>
  <c r="L21" i="8" s="1"/>
  <c r="I19" i="8"/>
  <c r="G19" i="8"/>
  <c r="K19" i="8"/>
  <c r="AU18" i="8"/>
  <c r="AT18" i="8"/>
  <c r="AS18" i="8"/>
  <c r="AR18" i="8"/>
  <c r="AQ18" i="8"/>
  <c r="AP18" i="8"/>
  <c r="AO18" i="8"/>
  <c r="V18" i="8"/>
  <c r="T18" i="8"/>
  <c r="S18" i="8"/>
  <c r="P18" i="8"/>
  <c r="O18" i="8"/>
  <c r="M18" i="8"/>
  <c r="L18" i="8"/>
  <c r="K18" i="8"/>
  <c r="I18" i="8"/>
  <c r="G18" i="8"/>
  <c r="J18" i="8"/>
  <c r="N18" i="8"/>
  <c r="AU17" i="8"/>
  <c r="AT17" i="8"/>
  <c r="AS17" i="8"/>
  <c r="AR17" i="8"/>
  <c r="AQ17" i="8"/>
  <c r="AP17" i="8"/>
  <c r="AW17" i="8" s="1"/>
  <c r="AO17" i="8"/>
  <c r="V17" i="8"/>
  <c r="S17" i="8"/>
  <c r="P17" i="8"/>
  <c r="O17" i="8"/>
  <c r="M17" i="8"/>
  <c r="L17" i="8"/>
  <c r="K17" i="8"/>
  <c r="J17" i="8"/>
  <c r="I17" i="8"/>
  <c r="H17" i="8"/>
  <c r="G17" i="8"/>
  <c r="U17" i="8"/>
  <c r="N17" i="8"/>
  <c r="T17" i="8"/>
  <c r="AU16" i="8"/>
  <c r="AT16" i="8"/>
  <c r="AS16" i="8"/>
  <c r="AR16" i="8"/>
  <c r="AQ16" i="8"/>
  <c r="AP16" i="8"/>
  <c r="AO16" i="8"/>
  <c r="V16" i="8"/>
  <c r="U16" i="8"/>
  <c r="S16" i="8"/>
  <c r="P16" i="8"/>
  <c r="O16" i="8"/>
  <c r="N16" i="8"/>
  <c r="M16" i="8"/>
  <c r="L16" i="8"/>
  <c r="J16" i="8"/>
  <c r="I16" i="8"/>
  <c r="H16" i="8"/>
  <c r="G16" i="8"/>
  <c r="AM16" i="8"/>
  <c r="AK16" i="8"/>
  <c r="AJ16" i="8"/>
  <c r="AL16" i="8"/>
  <c r="T16" i="8"/>
  <c r="R16" i="8"/>
  <c r="Q16" i="8"/>
  <c r="K16" i="8"/>
  <c r="AU15" i="8"/>
  <c r="AT15" i="8"/>
  <c r="AS15" i="8"/>
  <c r="AR15" i="8"/>
  <c r="AQ15" i="8"/>
  <c r="AP15" i="8"/>
  <c r="AW15" i="8" s="1"/>
  <c r="AO15" i="8"/>
  <c r="V15" i="8"/>
  <c r="T15" i="8"/>
  <c r="S15" i="8"/>
  <c r="O15" i="8"/>
  <c r="N15" i="8"/>
  <c r="M15" i="8"/>
  <c r="I15" i="8"/>
  <c r="G15" i="8"/>
  <c r="H15" i="8"/>
  <c r="AU14" i="8"/>
  <c r="AT14" i="8"/>
  <c r="AS14" i="8"/>
  <c r="AR14" i="8"/>
  <c r="AQ14" i="8"/>
  <c r="AP14" i="8"/>
  <c r="AW14" i="8" s="1"/>
  <c r="AO14" i="8"/>
  <c r="V14" i="8"/>
  <c r="S14" i="8"/>
  <c r="P14" i="8"/>
  <c r="O14" i="8"/>
  <c r="I14" i="8"/>
  <c r="G14" i="8"/>
  <c r="AU13" i="8"/>
  <c r="AT13" i="8"/>
  <c r="AS13" i="8"/>
  <c r="AR13" i="8"/>
  <c r="AQ13" i="8"/>
  <c r="AP13" i="8"/>
  <c r="AO13" i="8"/>
  <c r="V13" i="8"/>
  <c r="T13" i="8"/>
  <c r="S13" i="8"/>
  <c r="P13" i="8"/>
  <c r="O13" i="8"/>
  <c r="N13" i="8"/>
  <c r="M13" i="8"/>
  <c r="I13" i="8"/>
  <c r="G13" i="8"/>
  <c r="H13" i="8"/>
  <c r="AU12" i="8"/>
  <c r="AT12" i="8"/>
  <c r="AS12" i="8"/>
  <c r="AR12" i="8"/>
  <c r="AQ12" i="8"/>
  <c r="AP12" i="8"/>
  <c r="AO12" i="8"/>
  <c r="V12" i="8"/>
  <c r="T12" i="8"/>
  <c r="S12" i="8"/>
  <c r="P12" i="8"/>
  <c r="O12" i="8"/>
  <c r="N12" i="8"/>
  <c r="M12" i="8"/>
  <c r="K12" i="8"/>
  <c r="I12" i="8"/>
  <c r="G12" i="8"/>
  <c r="AU10" i="8"/>
  <c r="AT10" i="8"/>
  <c r="AT11" i="8" s="1"/>
  <c r="AS10" i="8"/>
  <c r="AR10" i="8"/>
  <c r="AQ10" i="8"/>
  <c r="AP10" i="8"/>
  <c r="AP11" i="8" s="1"/>
  <c r="AO10" i="8"/>
  <c r="AO11" i="8" s="1"/>
  <c r="V10" i="8"/>
  <c r="S10" i="8"/>
  <c r="P10" i="8"/>
  <c r="O10" i="8"/>
  <c r="M10" i="8"/>
  <c r="I10" i="8"/>
  <c r="H10" i="8"/>
  <c r="G10" i="8"/>
  <c r="G11" i="8" s="1"/>
  <c r="T10" i="8"/>
  <c r="K10" i="8"/>
  <c r="J10" i="8"/>
  <c r="AU9" i="8"/>
  <c r="AT9" i="8"/>
  <c r="AS9" i="8"/>
  <c r="AR9" i="8"/>
  <c r="AQ9" i="8"/>
  <c r="AQ11" i="8" s="1"/>
  <c r="AP9" i="8"/>
  <c r="AO9" i="8"/>
  <c r="V9" i="8"/>
  <c r="T9" i="8"/>
  <c r="S9" i="8"/>
  <c r="P9" i="8"/>
  <c r="O9" i="8"/>
  <c r="N9" i="8"/>
  <c r="M9" i="8"/>
  <c r="L9" i="8"/>
  <c r="K9" i="8"/>
  <c r="K11" i="8" s="1"/>
  <c r="I9" i="8"/>
  <c r="H9" i="8"/>
  <c r="G9" i="8"/>
  <c r="U9" i="8"/>
  <c r="J9" i="8"/>
  <c r="AU8" i="8"/>
  <c r="AT8" i="8"/>
  <c r="AS8" i="8"/>
  <c r="AR8" i="8"/>
  <c r="AQ8" i="8"/>
  <c r="AP8" i="8"/>
  <c r="AO8" i="8"/>
  <c r="V8" i="8"/>
  <c r="S8" i="8"/>
  <c r="P8" i="8"/>
  <c r="O8" i="8"/>
  <c r="N8" i="8"/>
  <c r="M8" i="8"/>
  <c r="L8" i="8"/>
  <c r="K8" i="8"/>
  <c r="I8" i="8"/>
  <c r="H8" i="8"/>
  <c r="G8" i="8"/>
  <c r="T8" i="8"/>
  <c r="J8" i="8"/>
  <c r="AU7" i="8"/>
  <c r="AT7" i="8"/>
  <c r="AS7" i="8"/>
  <c r="AR7" i="8"/>
  <c r="AQ7" i="8"/>
  <c r="AP7" i="8"/>
  <c r="AO7" i="8"/>
  <c r="V7" i="8"/>
  <c r="T7" i="8"/>
  <c r="S7" i="8"/>
  <c r="P7" i="8"/>
  <c r="O7" i="8"/>
  <c r="N7" i="8"/>
  <c r="M7" i="8"/>
  <c r="K7" i="8"/>
  <c r="I7" i="8"/>
  <c r="G7" i="8"/>
  <c r="H7" i="8"/>
  <c r="L7" i="8"/>
  <c r="AU6" i="8"/>
  <c r="AT6" i="8"/>
  <c r="AS6" i="8"/>
  <c r="AR6" i="8"/>
  <c r="AQ6" i="8"/>
  <c r="AP6" i="8"/>
  <c r="AO6" i="8"/>
  <c r="V6" i="8"/>
  <c r="T6" i="8"/>
  <c r="T11" i="8" s="1"/>
  <c r="S6" i="8"/>
  <c r="P6" i="8"/>
  <c r="O6" i="8"/>
  <c r="N6" i="8"/>
  <c r="M6" i="8"/>
  <c r="L6" i="8"/>
  <c r="K6" i="8"/>
  <c r="J6" i="8"/>
  <c r="I6" i="8"/>
  <c r="H6" i="8"/>
  <c r="G6" i="8"/>
  <c r="U6" i="8"/>
  <c r="AU5" i="8"/>
  <c r="AT5" i="8"/>
  <c r="AS5" i="8"/>
  <c r="AR5" i="8"/>
  <c r="AQ5" i="8"/>
  <c r="AP5" i="8"/>
  <c r="AO5" i="8"/>
  <c r="V5" i="8"/>
  <c r="T5" i="8"/>
  <c r="S5" i="8"/>
  <c r="P5" i="8"/>
  <c r="O5" i="8"/>
  <c r="M5" i="8"/>
  <c r="L5" i="8"/>
  <c r="I5" i="8"/>
  <c r="G5" i="8"/>
  <c r="K5" i="8"/>
  <c r="J5" i="8"/>
  <c r="H5" i="8"/>
  <c r="AU4" i="8"/>
  <c r="AT4" i="8"/>
  <c r="AS4" i="8"/>
  <c r="AR4" i="8"/>
  <c r="AQ4" i="8"/>
  <c r="AP4" i="8"/>
  <c r="AO4" i="8"/>
  <c r="AK4" i="8"/>
  <c r="V4" i="8"/>
  <c r="U4" i="8"/>
  <c r="T4" i="8"/>
  <c r="S4" i="8"/>
  <c r="Q4" i="8"/>
  <c r="P4" i="8"/>
  <c r="O4" i="8"/>
  <c r="N4" i="8"/>
  <c r="M4" i="8"/>
  <c r="K4" i="8"/>
  <c r="J4" i="8"/>
  <c r="I4" i="8"/>
  <c r="G4" i="8"/>
  <c r="L4" i="8"/>
  <c r="H4" i="8"/>
  <c r="AV4" i="8"/>
  <c r="AI4" i="8"/>
  <c r="R4" i="8"/>
  <c r="W393" i="6"/>
  <c r="W392" i="6"/>
  <c r="Z353" i="6"/>
  <c r="Y264" i="6"/>
  <c r="Y14" i="6"/>
  <c r="AJ14" i="6" s="1"/>
  <c r="AM525" i="6"/>
  <c r="AL525" i="6"/>
  <c r="AK525" i="6"/>
  <c r="AI525" i="6"/>
  <c r="AM524" i="6"/>
  <c r="AL524" i="6"/>
  <c r="AK524" i="6"/>
  <c r="AI524" i="6"/>
  <c r="AM523" i="6"/>
  <c r="AK523" i="6"/>
  <c r="AJ523" i="6"/>
  <c r="AI523" i="6"/>
  <c r="AM522" i="6"/>
  <c r="AK522" i="6"/>
  <c r="AJ522" i="6"/>
  <c r="AI522" i="6"/>
  <c r="AM521" i="6"/>
  <c r="AM526" i="6" s="1"/>
  <c r="AM528" i="6" s="1"/>
  <c r="AM12" i="7" s="1"/>
  <c r="AK521" i="6"/>
  <c r="AJ521" i="6"/>
  <c r="AI521" i="6"/>
  <c r="AM516" i="6"/>
  <c r="AL516" i="6"/>
  <c r="AJ516" i="6"/>
  <c r="AM515" i="6"/>
  <c r="AL515" i="6"/>
  <c r="AJ515" i="6"/>
  <c r="AM514" i="6"/>
  <c r="AL514" i="6"/>
  <c r="AJ514" i="6"/>
  <c r="AM513" i="6"/>
  <c r="AL513" i="6"/>
  <c r="AJ513" i="6"/>
  <c r="AM512" i="6"/>
  <c r="AL512" i="6"/>
  <c r="AJ512" i="6"/>
  <c r="AL511" i="6"/>
  <c r="AK511" i="6"/>
  <c r="AJ511" i="6"/>
  <c r="AI511" i="6"/>
  <c r="AM510" i="6"/>
  <c r="AL510" i="6"/>
  <c r="AK510" i="6"/>
  <c r="AJ510" i="6"/>
  <c r="AM509" i="6"/>
  <c r="AL509" i="6"/>
  <c r="AK509" i="6"/>
  <c r="AJ509" i="6"/>
  <c r="AM508" i="6"/>
  <c r="AK508" i="6"/>
  <c r="AJ508" i="6"/>
  <c r="AI508" i="6"/>
  <c r="AM507" i="6"/>
  <c r="AK507" i="6"/>
  <c r="AJ507" i="6"/>
  <c r="AM506" i="6"/>
  <c r="AK506" i="6"/>
  <c r="AI506" i="6"/>
  <c r="AM505" i="6"/>
  <c r="AK505" i="6"/>
  <c r="AJ505" i="6"/>
  <c r="AI505" i="6"/>
  <c r="AL504" i="6"/>
  <c r="AK504" i="6"/>
  <c r="AJ504" i="6"/>
  <c r="AI504" i="6"/>
  <c r="AM503" i="6"/>
  <c r="AK503" i="6"/>
  <c r="AJ503" i="6"/>
  <c r="AI503" i="6"/>
  <c r="AM502" i="6"/>
  <c r="AL502" i="6"/>
  <c r="AK502" i="6"/>
  <c r="AJ502" i="6"/>
  <c r="AL501" i="6"/>
  <c r="AJ501" i="6"/>
  <c r="AI501" i="6"/>
  <c r="AL500" i="6"/>
  <c r="AJ500" i="6"/>
  <c r="AI500" i="6"/>
  <c r="AL499" i="6"/>
  <c r="AJ499" i="6"/>
  <c r="AI499" i="6"/>
  <c r="AL498" i="6"/>
  <c r="AN498" i="6" s="1"/>
  <c r="AK498" i="6"/>
  <c r="AJ498" i="6"/>
  <c r="AI498" i="6"/>
  <c r="AL497" i="6"/>
  <c r="AK497" i="6"/>
  <c r="AJ497" i="6"/>
  <c r="AI497" i="6"/>
  <c r="AM496" i="6"/>
  <c r="AL496" i="6"/>
  <c r="AK496" i="6"/>
  <c r="AJ496" i="6"/>
  <c r="AM495" i="6"/>
  <c r="AL495" i="6"/>
  <c r="AK495" i="6"/>
  <c r="AJ495" i="6"/>
  <c r="AL494" i="6"/>
  <c r="AN494" i="6" s="1"/>
  <c r="AK494" i="6"/>
  <c r="AJ494" i="6"/>
  <c r="AI494" i="6"/>
  <c r="AL493" i="6"/>
  <c r="AK493" i="6"/>
  <c r="AJ493" i="6"/>
  <c r="AI493" i="6"/>
  <c r="AM492" i="6"/>
  <c r="AN492" i="6" s="1"/>
  <c r="AL492" i="6"/>
  <c r="AK492" i="6"/>
  <c r="AJ492" i="6"/>
  <c r="AM491" i="6"/>
  <c r="AL491" i="6"/>
  <c r="AK491" i="6"/>
  <c r="AJ491" i="6"/>
  <c r="AN491" i="6" s="1"/>
  <c r="AL490" i="6"/>
  <c r="AK490" i="6"/>
  <c r="AJ490" i="6"/>
  <c r="AI490" i="6"/>
  <c r="AL489" i="6"/>
  <c r="AK489" i="6"/>
  <c r="AJ489" i="6"/>
  <c r="AI489" i="6"/>
  <c r="AL488" i="6"/>
  <c r="AN488" i="6" s="1"/>
  <c r="AK488" i="6"/>
  <c r="AJ488" i="6"/>
  <c r="AI488" i="6"/>
  <c r="AL487" i="6"/>
  <c r="AK487" i="6"/>
  <c r="AJ487" i="6"/>
  <c r="AN487" i="6" s="1"/>
  <c r="AI487" i="6"/>
  <c r="AL486" i="6"/>
  <c r="AJ486" i="6"/>
  <c r="AI486" i="6"/>
  <c r="AL485" i="6"/>
  <c r="AK485" i="6"/>
  <c r="AJ485" i="6"/>
  <c r="AI485" i="6"/>
  <c r="AL484" i="6"/>
  <c r="AK484" i="6"/>
  <c r="AJ484" i="6"/>
  <c r="AI484" i="6"/>
  <c r="AL483" i="6"/>
  <c r="AK483" i="6"/>
  <c r="AJ483" i="6"/>
  <c r="AI483" i="6"/>
  <c r="AL482" i="6"/>
  <c r="AK482" i="6"/>
  <c r="AJ482" i="6"/>
  <c r="AI482" i="6"/>
  <c r="AM481" i="6"/>
  <c r="AL481" i="6"/>
  <c r="AJ481" i="6"/>
  <c r="AM480" i="6"/>
  <c r="AL480" i="6"/>
  <c r="AJ480" i="6"/>
  <c r="AL479" i="6"/>
  <c r="AK479" i="6"/>
  <c r="AJ479" i="6"/>
  <c r="AI479" i="6"/>
  <c r="AL478" i="6"/>
  <c r="AK478" i="6"/>
  <c r="AJ478" i="6"/>
  <c r="AI478" i="6"/>
  <c r="AL477" i="6"/>
  <c r="AJ477" i="6"/>
  <c r="AI477" i="6"/>
  <c r="AM474" i="6"/>
  <c r="AL474" i="6"/>
  <c r="AK474" i="6"/>
  <c r="AJ474" i="6"/>
  <c r="AM473" i="6"/>
  <c r="AL473" i="6"/>
  <c r="AK473" i="6"/>
  <c r="AJ473" i="6"/>
  <c r="AM472" i="6"/>
  <c r="AL472" i="6"/>
  <c r="AL475" i="6" s="1"/>
  <c r="AK472" i="6"/>
  <c r="AK475" i="6" s="1"/>
  <c r="AJ472" i="6"/>
  <c r="AN472" i="6" s="1"/>
  <c r="AM471" i="6"/>
  <c r="AL471" i="6"/>
  <c r="AK471" i="6"/>
  <c r="AJ471" i="6"/>
  <c r="AM468" i="6"/>
  <c r="AL468" i="6"/>
  <c r="AK468" i="6"/>
  <c r="AJ468" i="6"/>
  <c r="AN468" i="6" s="1"/>
  <c r="AM467" i="6"/>
  <c r="AL467" i="6"/>
  <c r="AK467" i="6"/>
  <c r="AM466" i="6"/>
  <c r="AL466" i="6"/>
  <c r="AK466" i="6"/>
  <c r="AM465" i="6"/>
  <c r="AL465" i="6"/>
  <c r="AK465" i="6"/>
  <c r="AJ465" i="6"/>
  <c r="AM464" i="6"/>
  <c r="AL464" i="6"/>
  <c r="AK464" i="6"/>
  <c r="AJ464" i="6"/>
  <c r="AM463" i="6"/>
  <c r="AL463" i="6"/>
  <c r="AK463" i="6"/>
  <c r="AJ463" i="6"/>
  <c r="AM462" i="6"/>
  <c r="AL462" i="6"/>
  <c r="AK462" i="6"/>
  <c r="AJ462" i="6"/>
  <c r="AM461" i="6"/>
  <c r="AL461" i="6"/>
  <c r="AK461" i="6"/>
  <c r="AM460" i="6"/>
  <c r="AL460" i="6"/>
  <c r="AK460" i="6"/>
  <c r="AM459" i="6"/>
  <c r="AL459" i="6"/>
  <c r="AK459" i="6"/>
  <c r="AJ459" i="6"/>
  <c r="AM458" i="6"/>
  <c r="AL458" i="6"/>
  <c r="AK458" i="6"/>
  <c r="AM457" i="6"/>
  <c r="AL457" i="6"/>
  <c r="AK457" i="6"/>
  <c r="AM456" i="6"/>
  <c r="AL456" i="6"/>
  <c r="AK456" i="6"/>
  <c r="AM455" i="6"/>
  <c r="AL455" i="6"/>
  <c r="AK455" i="6"/>
  <c r="AM454" i="6"/>
  <c r="AL454" i="6"/>
  <c r="AK454" i="6"/>
  <c r="AA448" i="6"/>
  <c r="AB448" i="6" s="1"/>
  <c r="AA444" i="6"/>
  <c r="AA443" i="6"/>
  <c r="AK450" i="6"/>
  <c r="AJ450" i="6"/>
  <c r="AI450" i="6"/>
  <c r="AM449" i="6"/>
  <c r="AK449" i="6"/>
  <c r="AJ449" i="6"/>
  <c r="AI449" i="6"/>
  <c r="AK448" i="6"/>
  <c r="AJ448" i="6"/>
  <c r="AI448" i="6"/>
  <c r="AM447" i="6"/>
  <c r="AL447" i="6"/>
  <c r="AI447" i="6"/>
  <c r="AM446" i="6"/>
  <c r="AK446" i="6"/>
  <c r="AN446" i="6" s="1"/>
  <c r="AJ446" i="6"/>
  <c r="AI446" i="6"/>
  <c r="AM445" i="6"/>
  <c r="AK445" i="6"/>
  <c r="AI445" i="6"/>
  <c r="AK444" i="6"/>
  <c r="AJ444" i="6"/>
  <c r="AI444" i="6"/>
  <c r="AK443" i="6"/>
  <c r="AJ443" i="6"/>
  <c r="AI443" i="6"/>
  <c r="AM442" i="6"/>
  <c r="AL442" i="6"/>
  <c r="AK442" i="6"/>
  <c r="AI442" i="6"/>
  <c r="AM441" i="6"/>
  <c r="AN441" i="6" s="1"/>
  <c r="AL441" i="6"/>
  <c r="AK441" i="6"/>
  <c r="AJ441" i="6"/>
  <c r="AK440" i="6"/>
  <c r="AI440" i="6"/>
  <c r="AM437" i="6"/>
  <c r="AK437" i="6"/>
  <c r="AJ437" i="6"/>
  <c r="AI437" i="6"/>
  <c r="AM436" i="6"/>
  <c r="AK436" i="6"/>
  <c r="AJ436" i="6"/>
  <c r="AI436" i="6"/>
  <c r="AI438" i="6" s="1"/>
  <c r="AI9" i="7" s="1"/>
  <c r="AM435" i="6"/>
  <c r="AM438" i="6" s="1"/>
  <c r="AM9" i="7" s="1"/>
  <c r="AK435" i="6"/>
  <c r="AJ435" i="6"/>
  <c r="AJ438" i="6" s="1"/>
  <c r="AJ9" i="7" s="1"/>
  <c r="AI435" i="6"/>
  <c r="AM431" i="6"/>
  <c r="AK431" i="6"/>
  <c r="AJ431" i="6"/>
  <c r="AI431" i="6"/>
  <c r="AM430" i="6"/>
  <c r="AK430" i="6"/>
  <c r="AK432" i="6" s="1"/>
  <c r="AI430" i="6"/>
  <c r="AM429" i="6"/>
  <c r="AK429" i="6"/>
  <c r="AJ429" i="6"/>
  <c r="AI429" i="6"/>
  <c r="AA422" i="6"/>
  <c r="AA420" i="6"/>
  <c r="AB420" i="6" s="1"/>
  <c r="AA416" i="6"/>
  <c r="AB416" i="6"/>
  <c r="AJ426" i="6"/>
  <c r="AI426" i="6"/>
  <c r="AK425" i="6"/>
  <c r="AI425" i="6"/>
  <c r="AM424" i="6"/>
  <c r="AK424" i="6"/>
  <c r="AJ424" i="6"/>
  <c r="AN424" i="6" s="1"/>
  <c r="AI424" i="6"/>
  <c r="AK423" i="6"/>
  <c r="AJ423" i="6"/>
  <c r="AI423" i="6"/>
  <c r="AK422" i="6"/>
  <c r="AJ422" i="6"/>
  <c r="AI422" i="6"/>
  <c r="AJ421" i="6"/>
  <c r="AI421" i="6"/>
  <c r="AK420" i="6"/>
  <c r="AJ420" i="6"/>
  <c r="AI420" i="6"/>
  <c r="AM419" i="6"/>
  <c r="AK419" i="6"/>
  <c r="AJ419" i="6"/>
  <c r="AI419" i="6"/>
  <c r="AM418" i="6"/>
  <c r="AK418" i="6"/>
  <c r="AI418" i="6"/>
  <c r="AM417" i="6"/>
  <c r="AK417" i="6"/>
  <c r="AJ417" i="6"/>
  <c r="AI417" i="6"/>
  <c r="AK416" i="6"/>
  <c r="AJ416" i="6"/>
  <c r="AJ427" i="6" s="1"/>
  <c r="AI416" i="6"/>
  <c r="AA407" i="6"/>
  <c r="AM413" i="6"/>
  <c r="AK413" i="6"/>
  <c r="AI413" i="6"/>
  <c r="AL412" i="6"/>
  <c r="AJ412" i="6"/>
  <c r="AI412" i="6"/>
  <c r="AL411" i="6"/>
  <c r="AJ411" i="6"/>
  <c r="AI411" i="6"/>
  <c r="AL410" i="6"/>
  <c r="AK410" i="6"/>
  <c r="AJ410" i="6"/>
  <c r="AI410" i="6"/>
  <c r="AL409" i="6"/>
  <c r="AJ409" i="6"/>
  <c r="AI409" i="6"/>
  <c r="AL408" i="6"/>
  <c r="AK408" i="6"/>
  <c r="AJ408" i="6"/>
  <c r="AI408" i="6"/>
  <c r="AK407" i="6"/>
  <c r="AJ407" i="6"/>
  <c r="AI407" i="6"/>
  <c r="AM402" i="6"/>
  <c r="AK402" i="6"/>
  <c r="AJ402" i="6"/>
  <c r="AI402" i="6"/>
  <c r="AM401" i="6"/>
  <c r="AK401" i="6"/>
  <c r="AI401" i="6"/>
  <c r="AM400" i="6"/>
  <c r="AK400" i="6"/>
  <c r="AI400" i="6"/>
  <c r="AM399" i="6"/>
  <c r="AK399" i="6"/>
  <c r="AJ399" i="6"/>
  <c r="AI399" i="6"/>
  <c r="AM398" i="6"/>
  <c r="AK398" i="6"/>
  <c r="AJ398" i="6"/>
  <c r="AI398" i="6"/>
  <c r="AM397" i="6"/>
  <c r="AK397" i="6"/>
  <c r="AJ397" i="6"/>
  <c r="AI397" i="6"/>
  <c r="AM394" i="6"/>
  <c r="AL394" i="6"/>
  <c r="AK394" i="6"/>
  <c r="AL393" i="6"/>
  <c r="AK393" i="6"/>
  <c r="AL392" i="6"/>
  <c r="AK392" i="6"/>
  <c r="AM391" i="6"/>
  <c r="AL391" i="6"/>
  <c r="AI391" i="6"/>
  <c r="AL390" i="6"/>
  <c r="AK390" i="6"/>
  <c r="AL389" i="6"/>
  <c r="AK389" i="6"/>
  <c r="AL388" i="6"/>
  <c r="AK388" i="6"/>
  <c r="AL387" i="6"/>
  <c r="AK387" i="6"/>
  <c r="AL386" i="6"/>
  <c r="AK386" i="6"/>
  <c r="AL385" i="6"/>
  <c r="AK385" i="6"/>
  <c r="AL384" i="6"/>
  <c r="AK384" i="6"/>
  <c r="AM383" i="6"/>
  <c r="AL383" i="6"/>
  <c r="AK383" i="6"/>
  <c r="AM380" i="6"/>
  <c r="AK380" i="6"/>
  <c r="AJ380" i="6"/>
  <c r="AI380" i="6"/>
  <c r="AM379" i="6"/>
  <c r="AK379" i="6"/>
  <c r="AI379" i="6"/>
  <c r="AM378" i="6"/>
  <c r="AK378" i="6"/>
  <c r="AJ378" i="6"/>
  <c r="AI378" i="6"/>
  <c r="AA370" i="6"/>
  <c r="AL370" i="6" s="1"/>
  <c r="AA369" i="6"/>
  <c r="AL369" i="6" s="1"/>
  <c r="AB369" i="6"/>
  <c r="AM375" i="6"/>
  <c r="AK375" i="6"/>
  <c r="AJ375" i="6"/>
  <c r="AI375" i="6"/>
  <c r="AM374" i="6"/>
  <c r="AK374" i="6"/>
  <c r="AI374" i="6"/>
  <c r="AM373" i="6"/>
  <c r="AK373" i="6"/>
  <c r="AI373" i="6"/>
  <c r="AM372" i="6"/>
  <c r="AK372" i="6"/>
  <c r="AI372" i="6"/>
  <c r="AM371" i="6"/>
  <c r="AK371" i="6"/>
  <c r="AI371" i="6"/>
  <c r="AK370" i="6"/>
  <c r="AJ370" i="6"/>
  <c r="AI370" i="6"/>
  <c r="AK369" i="6"/>
  <c r="AJ369" i="6"/>
  <c r="AI369" i="6"/>
  <c r="AK368" i="6"/>
  <c r="AK376" i="6" s="1"/>
  <c r="AJ368" i="6"/>
  <c r="AI368" i="6"/>
  <c r="AM365" i="6"/>
  <c r="AK365" i="6"/>
  <c r="AJ365" i="6"/>
  <c r="AI365" i="6"/>
  <c r="AM364" i="6"/>
  <c r="AL364" i="6"/>
  <c r="AI364" i="6"/>
  <c r="AM363" i="6"/>
  <c r="AK363" i="6"/>
  <c r="AJ363" i="6"/>
  <c r="AI363" i="6"/>
  <c r="AL362" i="6"/>
  <c r="AK362" i="6"/>
  <c r="AJ362" i="6"/>
  <c r="AI362" i="6"/>
  <c r="AM361" i="6"/>
  <c r="AK361" i="6"/>
  <c r="AJ361" i="6"/>
  <c r="AI361" i="6"/>
  <c r="AM360" i="6"/>
  <c r="AK360" i="6"/>
  <c r="AJ360" i="6"/>
  <c r="AI360" i="6"/>
  <c r="AM359" i="6"/>
  <c r="AK359" i="6"/>
  <c r="AJ359" i="6"/>
  <c r="AI359" i="6"/>
  <c r="AM358" i="6"/>
  <c r="AK358" i="6"/>
  <c r="AJ358" i="6"/>
  <c r="AN358" i="6" s="1"/>
  <c r="AI358" i="6"/>
  <c r="AM357" i="6"/>
  <c r="AK357" i="6"/>
  <c r="AJ357" i="6"/>
  <c r="AI357" i="6"/>
  <c r="AK356" i="6"/>
  <c r="AI356" i="6"/>
  <c r="AM355" i="6"/>
  <c r="AK355" i="6"/>
  <c r="AJ355" i="6"/>
  <c r="AI355" i="6"/>
  <c r="AM354" i="6"/>
  <c r="AL354" i="6"/>
  <c r="AJ354" i="6"/>
  <c r="AI354" i="6"/>
  <c r="AM353" i="6"/>
  <c r="AL353" i="6"/>
  <c r="AJ353" i="6"/>
  <c r="AI353" i="6"/>
  <c r="AA348" i="6"/>
  <c r="AL348" i="6" s="1"/>
  <c r="AL349" i="6"/>
  <c r="AK349" i="6"/>
  <c r="AJ349" i="6"/>
  <c r="AJ350" i="6" s="1"/>
  <c r="AI349" i="6"/>
  <c r="AK348" i="6"/>
  <c r="AK350" i="6" s="1"/>
  <c r="AJ348" i="6"/>
  <c r="AI348" i="6"/>
  <c r="AL345" i="6"/>
  <c r="AJ345" i="6"/>
  <c r="AI345" i="6"/>
  <c r="AM344" i="6"/>
  <c r="AK344" i="6"/>
  <c r="AI344" i="6"/>
  <c r="AM343" i="6"/>
  <c r="AL343" i="6"/>
  <c r="AJ343" i="6"/>
  <c r="AI343" i="6"/>
  <c r="AM342" i="6"/>
  <c r="AK342" i="6"/>
  <c r="AJ342" i="6"/>
  <c r="AI342" i="6"/>
  <c r="AI346" i="6" s="1"/>
  <c r="AM341" i="6"/>
  <c r="AK341" i="6"/>
  <c r="AJ341" i="6"/>
  <c r="AI341" i="6"/>
  <c r="AL340" i="6"/>
  <c r="AJ340" i="6"/>
  <c r="AI340" i="6"/>
  <c r="AM339" i="6"/>
  <c r="AL339" i="6"/>
  <c r="AJ339" i="6"/>
  <c r="AI339" i="6"/>
  <c r="AM338" i="6"/>
  <c r="AL338" i="6"/>
  <c r="AJ338" i="6"/>
  <c r="AI338" i="6"/>
  <c r="AM337" i="6"/>
  <c r="AL337" i="6"/>
  <c r="AJ337" i="6"/>
  <c r="AI337" i="6"/>
  <c r="Z317" i="6"/>
  <c r="AM334" i="6"/>
  <c r="AL334" i="6"/>
  <c r="AJ334" i="6"/>
  <c r="AI334" i="6"/>
  <c r="AL333" i="6"/>
  <c r="AJ333" i="6"/>
  <c r="AI333" i="6"/>
  <c r="AM332" i="6"/>
  <c r="AK332" i="6"/>
  <c r="AI332" i="6"/>
  <c r="AM331" i="6"/>
  <c r="AK331" i="6"/>
  <c r="AJ331" i="6"/>
  <c r="AI331" i="6"/>
  <c r="AM330" i="6"/>
  <c r="AL330" i="6"/>
  <c r="AI330" i="6"/>
  <c r="AM329" i="6"/>
  <c r="AL329" i="6"/>
  <c r="AK329" i="6"/>
  <c r="AN329" i="6" s="1"/>
  <c r="AJ329" i="6"/>
  <c r="AM328" i="6"/>
  <c r="AK328" i="6"/>
  <c r="AI328" i="6"/>
  <c r="AM327" i="6"/>
  <c r="AK327" i="6"/>
  <c r="AJ327" i="6"/>
  <c r="AI327" i="6"/>
  <c r="AM326" i="6"/>
  <c r="AK326" i="6"/>
  <c r="AI326" i="6"/>
  <c r="AM325" i="6"/>
  <c r="AK325" i="6"/>
  <c r="AI325" i="6"/>
  <c r="AM324" i="6"/>
  <c r="AK324" i="6"/>
  <c r="AI324" i="6"/>
  <c r="AM323" i="6"/>
  <c r="AK323" i="6"/>
  <c r="AI323" i="6"/>
  <c r="AM322" i="6"/>
  <c r="AK322" i="6"/>
  <c r="AI322" i="6"/>
  <c r="AM321" i="6"/>
  <c r="AL321" i="6"/>
  <c r="AJ321" i="6"/>
  <c r="AI321" i="6"/>
  <c r="AM320" i="6"/>
  <c r="AK320" i="6"/>
  <c r="AI320" i="6"/>
  <c r="AM319" i="6"/>
  <c r="AK319" i="6"/>
  <c r="AI319" i="6"/>
  <c r="AM318" i="6"/>
  <c r="AK318" i="6"/>
  <c r="AJ318" i="6"/>
  <c r="AI318" i="6"/>
  <c r="AM317" i="6"/>
  <c r="AJ317" i="6"/>
  <c r="AI317" i="6"/>
  <c r="AM316" i="6"/>
  <c r="AK316" i="6"/>
  <c r="AJ316" i="6"/>
  <c r="AI316" i="6"/>
  <c r="AM315" i="6"/>
  <c r="AL315" i="6"/>
  <c r="AJ315" i="6"/>
  <c r="AI315" i="6"/>
  <c r="AM314" i="6"/>
  <c r="AL314" i="6"/>
  <c r="AJ314" i="6"/>
  <c r="AI314" i="6"/>
  <c r="AL313" i="6"/>
  <c r="AJ313" i="6"/>
  <c r="AI313" i="6"/>
  <c r="AM312" i="6"/>
  <c r="AJ312" i="6"/>
  <c r="AI312" i="6"/>
  <c r="AM311" i="6"/>
  <c r="AL311" i="6"/>
  <c r="AJ311" i="6"/>
  <c r="AI311" i="6"/>
  <c r="AM310" i="6"/>
  <c r="AK310" i="6"/>
  <c r="AJ310" i="6"/>
  <c r="AI310" i="6"/>
  <c r="AM309" i="6"/>
  <c r="AK309" i="6"/>
  <c r="AJ309" i="6"/>
  <c r="AI309" i="6"/>
  <c r="AM308" i="6"/>
  <c r="AK308" i="6"/>
  <c r="AN308" i="6" s="1"/>
  <c r="AJ308" i="6"/>
  <c r="AI308" i="6"/>
  <c r="AM307" i="6"/>
  <c r="AK307" i="6"/>
  <c r="AJ307" i="6"/>
  <c r="AI307" i="6"/>
  <c r="AM306" i="6"/>
  <c r="AL306" i="6"/>
  <c r="AJ306" i="6"/>
  <c r="AI306" i="6"/>
  <c r="AM305" i="6"/>
  <c r="AK305" i="6"/>
  <c r="AI305" i="6"/>
  <c r="AM304" i="6"/>
  <c r="AK304" i="6"/>
  <c r="AJ304" i="6"/>
  <c r="AI304" i="6"/>
  <c r="AM303" i="6"/>
  <c r="AK303" i="6"/>
  <c r="AJ303" i="6"/>
  <c r="AI303" i="6"/>
  <c r="AM302" i="6"/>
  <c r="AL302" i="6"/>
  <c r="AK302" i="6"/>
  <c r="AJ302" i="6"/>
  <c r="AM301" i="6"/>
  <c r="AL301" i="6"/>
  <c r="AJ301" i="6"/>
  <c r="AI301" i="6"/>
  <c r="AM300" i="6"/>
  <c r="AK300" i="6"/>
  <c r="AJ300" i="6"/>
  <c r="AI300" i="6"/>
  <c r="AM297" i="6"/>
  <c r="AK297" i="6"/>
  <c r="AJ297" i="6"/>
  <c r="AI297" i="6"/>
  <c r="AM296" i="6"/>
  <c r="AK296" i="6"/>
  <c r="AJ296" i="6"/>
  <c r="AI296" i="6"/>
  <c r="AM295" i="6"/>
  <c r="AK295" i="6"/>
  <c r="AJ295" i="6"/>
  <c r="AI295" i="6"/>
  <c r="AM294" i="6"/>
  <c r="AK294" i="6"/>
  <c r="AJ294" i="6"/>
  <c r="AI294" i="6"/>
  <c r="AM293" i="6"/>
  <c r="AK293" i="6"/>
  <c r="AJ293" i="6"/>
  <c r="AI293" i="6"/>
  <c r="AM292" i="6"/>
  <c r="AK292" i="6"/>
  <c r="AJ292" i="6"/>
  <c r="AI292" i="6"/>
  <c r="AM291" i="6"/>
  <c r="AK291" i="6"/>
  <c r="AJ291" i="6"/>
  <c r="AI291" i="6"/>
  <c r="AM290" i="6"/>
  <c r="AK290" i="6"/>
  <c r="AJ290" i="6"/>
  <c r="AI290" i="6"/>
  <c r="AM289" i="6"/>
  <c r="AK289" i="6"/>
  <c r="AJ289" i="6"/>
  <c r="AI289" i="6"/>
  <c r="AM288" i="6"/>
  <c r="AK288" i="6"/>
  <c r="AK298" i="6"/>
  <c r="AJ288" i="6"/>
  <c r="AI288" i="6"/>
  <c r="AM285" i="6"/>
  <c r="AK285" i="6"/>
  <c r="AI285" i="6"/>
  <c r="AM284" i="6"/>
  <c r="AL284" i="6"/>
  <c r="AL286" i="6" s="1"/>
  <c r="AK284" i="6"/>
  <c r="AK286" i="6" s="1"/>
  <c r="AI284" i="6"/>
  <c r="AM281" i="6"/>
  <c r="AL281" i="6"/>
  <c r="AK281" i="6"/>
  <c r="AI281" i="6"/>
  <c r="AM280" i="6"/>
  <c r="AL280" i="6"/>
  <c r="AJ280" i="6"/>
  <c r="AI280" i="6"/>
  <c r="Y263" i="6"/>
  <c r="Y258" i="6"/>
  <c r="AL277" i="6"/>
  <c r="AJ277" i="6"/>
  <c r="AI277" i="6"/>
  <c r="AM276" i="6"/>
  <c r="AL276" i="6"/>
  <c r="AK276" i="6"/>
  <c r="AI276" i="6"/>
  <c r="AM275" i="6"/>
  <c r="AK275" i="6"/>
  <c r="AJ275" i="6"/>
  <c r="AI275" i="6"/>
  <c r="AM274" i="6"/>
  <c r="AL274" i="6"/>
  <c r="AK274" i="6"/>
  <c r="AI274" i="6"/>
  <c r="AM273" i="6"/>
  <c r="AK273" i="6"/>
  <c r="AJ273" i="6"/>
  <c r="AI273" i="6"/>
  <c r="AM272" i="6"/>
  <c r="AM278" i="6" s="1"/>
  <c r="AK272" i="6"/>
  <c r="AN272" i="6" s="1"/>
  <c r="AI272" i="6"/>
  <c r="AM271" i="6"/>
  <c r="AK271" i="6"/>
  <c r="AJ271" i="6"/>
  <c r="AI271" i="6"/>
  <c r="AM270" i="6"/>
  <c r="AL270" i="6"/>
  <c r="AK270" i="6"/>
  <c r="AI270" i="6"/>
  <c r="AM269" i="6"/>
  <c r="AL269" i="6"/>
  <c r="AK269" i="6"/>
  <c r="AI269" i="6"/>
  <c r="AM268" i="6"/>
  <c r="AK268" i="6"/>
  <c r="AJ268" i="6"/>
  <c r="AN268" i="6" s="1"/>
  <c r="AI268" i="6"/>
  <c r="AM267" i="6"/>
  <c r="AL267" i="6"/>
  <c r="AJ267" i="6"/>
  <c r="AI267" i="6"/>
  <c r="AM266" i="6"/>
  <c r="AK266" i="6"/>
  <c r="AJ266" i="6"/>
  <c r="AN266" i="6" s="1"/>
  <c r="AI266" i="6"/>
  <c r="AM265" i="6"/>
  <c r="AK265" i="6"/>
  <c r="AJ265" i="6"/>
  <c r="AI265" i="6"/>
  <c r="AM264" i="6"/>
  <c r="AL264" i="6"/>
  <c r="AK264" i="6"/>
  <c r="AI264" i="6"/>
  <c r="AM263" i="6"/>
  <c r="AL263" i="6"/>
  <c r="AK263" i="6"/>
  <c r="AI263" i="6"/>
  <c r="AM262" i="6"/>
  <c r="AK262" i="6"/>
  <c r="AJ262" i="6"/>
  <c r="AI262" i="6"/>
  <c r="AM261" i="6"/>
  <c r="AL261" i="6"/>
  <c r="AJ261" i="6"/>
  <c r="AI261" i="6"/>
  <c r="AM260" i="6"/>
  <c r="AK260" i="6"/>
  <c r="AJ260" i="6"/>
  <c r="AI260" i="6"/>
  <c r="AM259" i="6"/>
  <c r="AL259" i="6"/>
  <c r="AK259" i="6"/>
  <c r="AI259" i="6"/>
  <c r="AM258" i="6"/>
  <c r="AL258" i="6"/>
  <c r="AK258" i="6"/>
  <c r="AI258" i="6"/>
  <c r="AM255" i="6"/>
  <c r="AK255" i="6"/>
  <c r="AI255" i="6"/>
  <c r="AM254" i="6"/>
  <c r="AK254" i="6"/>
  <c r="AI254" i="6"/>
  <c r="AI256" i="6" s="1"/>
  <c r="AM253" i="6"/>
  <c r="AK253" i="6"/>
  <c r="AI253" i="6"/>
  <c r="AM252" i="6"/>
  <c r="AK252" i="6"/>
  <c r="AI252" i="6"/>
  <c r="AM248" i="6"/>
  <c r="AK248" i="6"/>
  <c r="AJ248" i="6"/>
  <c r="AI248" i="6"/>
  <c r="AM247" i="6"/>
  <c r="AK247" i="6"/>
  <c r="AJ247" i="6"/>
  <c r="AI247" i="6"/>
  <c r="AM246" i="6"/>
  <c r="AK246" i="6"/>
  <c r="AJ246" i="6"/>
  <c r="AN246" i="6" s="1"/>
  <c r="AI246" i="6"/>
  <c r="AM245" i="6"/>
  <c r="AK245" i="6"/>
  <c r="AJ245" i="6"/>
  <c r="AI245" i="6"/>
  <c r="AM244" i="6"/>
  <c r="AK244" i="6"/>
  <c r="AI244" i="6"/>
  <c r="AI249" i="6" s="1"/>
  <c r="AM243" i="6"/>
  <c r="AK243" i="6"/>
  <c r="AJ243" i="6"/>
  <c r="AM242" i="6"/>
  <c r="AK242" i="6"/>
  <c r="AJ242" i="6"/>
  <c r="AI242" i="6"/>
  <c r="AM241" i="6"/>
  <c r="AN241" i="6" s="1"/>
  <c r="AK241" i="6"/>
  <c r="AJ241" i="6"/>
  <c r="AI241" i="6"/>
  <c r="AM238" i="6"/>
  <c r="AK238" i="6"/>
  <c r="AI238" i="6"/>
  <c r="AM237" i="6"/>
  <c r="AK237" i="6"/>
  <c r="AI237" i="6"/>
  <c r="AM236" i="6"/>
  <c r="AK236" i="6"/>
  <c r="AJ236" i="6"/>
  <c r="AI236" i="6"/>
  <c r="AM235" i="6"/>
  <c r="AK235" i="6"/>
  <c r="AI235" i="6"/>
  <c r="AM234" i="6"/>
  <c r="AK234" i="6"/>
  <c r="AJ234" i="6"/>
  <c r="AI234" i="6"/>
  <c r="AM233" i="6"/>
  <c r="AK233" i="6"/>
  <c r="AJ233" i="6"/>
  <c r="AN233" i="6" s="1"/>
  <c r="AI233" i="6"/>
  <c r="AM232" i="6"/>
  <c r="AK232" i="6"/>
  <c r="AJ232" i="6"/>
  <c r="AI232" i="6"/>
  <c r="AM231" i="6"/>
  <c r="AK231" i="6"/>
  <c r="AJ231" i="6"/>
  <c r="AN231" i="6" s="1"/>
  <c r="AI231" i="6"/>
  <c r="AM230" i="6"/>
  <c r="AK230" i="6"/>
  <c r="AJ230" i="6"/>
  <c r="AI230" i="6"/>
  <c r="AM229" i="6"/>
  <c r="AK229" i="6"/>
  <c r="AJ229" i="6"/>
  <c r="AI229" i="6"/>
  <c r="AM228" i="6"/>
  <c r="AK228" i="6"/>
  <c r="AI228" i="6"/>
  <c r="AM227" i="6"/>
  <c r="AK227" i="6"/>
  <c r="AI227" i="6"/>
  <c r="AM226" i="6"/>
  <c r="AK226" i="6"/>
  <c r="AN226" i="6" s="1"/>
  <c r="AJ226" i="6"/>
  <c r="AI226" i="6"/>
  <c r="AM225" i="6"/>
  <c r="AK225" i="6"/>
  <c r="AJ225" i="6"/>
  <c r="AI225" i="6"/>
  <c r="AM224" i="6"/>
  <c r="AK224" i="6"/>
  <c r="AK239" i="6" s="1"/>
  <c r="AJ224" i="6"/>
  <c r="AI224" i="6"/>
  <c r="AM223" i="6"/>
  <c r="AK223" i="6"/>
  <c r="AI223" i="6"/>
  <c r="AM222" i="6"/>
  <c r="AK222" i="6"/>
  <c r="AJ222" i="6"/>
  <c r="AN222" i="6" s="1"/>
  <c r="AI222" i="6"/>
  <c r="AM221" i="6"/>
  <c r="AK221" i="6"/>
  <c r="AJ221" i="6"/>
  <c r="AI221" i="6"/>
  <c r="AM220" i="6"/>
  <c r="AK220" i="6"/>
  <c r="AJ220" i="6"/>
  <c r="AI220" i="6"/>
  <c r="AM219" i="6"/>
  <c r="AK219" i="6"/>
  <c r="AJ219" i="6"/>
  <c r="AI219" i="6"/>
  <c r="AM218" i="6"/>
  <c r="AK218" i="6"/>
  <c r="AJ218" i="6"/>
  <c r="AN218" i="6" s="1"/>
  <c r="AI218" i="6"/>
  <c r="AM217" i="6"/>
  <c r="AK217" i="6"/>
  <c r="AJ217" i="6"/>
  <c r="AI217" i="6"/>
  <c r="AM216" i="6"/>
  <c r="AK216" i="6"/>
  <c r="AJ216" i="6"/>
  <c r="AI216" i="6"/>
  <c r="AM215" i="6"/>
  <c r="AK215" i="6"/>
  <c r="AJ215" i="6"/>
  <c r="AI215" i="6"/>
  <c r="AM214" i="6"/>
  <c r="AK214" i="6"/>
  <c r="AJ214" i="6"/>
  <c r="AN214" i="6" s="1"/>
  <c r="AI214" i="6"/>
  <c r="AM213" i="6"/>
  <c r="AK213" i="6"/>
  <c r="AJ213" i="6"/>
  <c r="AI213" i="6"/>
  <c r="AM212" i="6"/>
  <c r="AK212" i="6"/>
  <c r="AJ212" i="6"/>
  <c r="AI212" i="6"/>
  <c r="AA204" i="6"/>
  <c r="AB204" i="6" s="1"/>
  <c r="AB210" i="6" s="1"/>
  <c r="AB22" i="8" s="1"/>
  <c r="AM209" i="6"/>
  <c r="AK209" i="6"/>
  <c r="AJ209" i="6"/>
  <c r="AI209" i="6"/>
  <c r="AM208" i="6"/>
  <c r="AK208" i="6"/>
  <c r="AN208" i="6" s="1"/>
  <c r="AJ208" i="6"/>
  <c r="AI208" i="6"/>
  <c r="AL207" i="6"/>
  <c r="AJ207" i="6"/>
  <c r="AI207" i="6"/>
  <c r="AM206" i="6"/>
  <c r="AK206" i="6"/>
  <c r="AJ206" i="6"/>
  <c r="AI206" i="6"/>
  <c r="AM205" i="6"/>
  <c r="AL205" i="6"/>
  <c r="AK205" i="6"/>
  <c r="AI205" i="6"/>
  <c r="AK204" i="6"/>
  <c r="AJ204" i="6"/>
  <c r="AI204" i="6"/>
  <c r="AB195" i="6"/>
  <c r="AA195" i="6"/>
  <c r="AM199" i="6"/>
  <c r="AK199" i="6"/>
  <c r="AJ199" i="6"/>
  <c r="AI199" i="6"/>
  <c r="AK198" i="6"/>
  <c r="AJ198" i="6"/>
  <c r="AJ200" i="6" s="1"/>
  <c r="AI198" i="6"/>
  <c r="AJ197" i="6"/>
  <c r="AI197" i="6"/>
  <c r="AJ196" i="6"/>
  <c r="AI196" i="6"/>
  <c r="AK195" i="6"/>
  <c r="AJ195" i="6"/>
  <c r="AI195" i="6"/>
  <c r="AI200" i="6" s="1"/>
  <c r="AB190" i="6"/>
  <c r="AA190" i="6"/>
  <c r="AB178" i="6"/>
  <c r="AA178" i="6"/>
  <c r="Y176" i="6"/>
  <c r="Y175" i="6"/>
  <c r="AJ175" i="6"/>
  <c r="AL192" i="6"/>
  <c r="AK192" i="6"/>
  <c r="AJ192" i="6"/>
  <c r="AI192" i="6"/>
  <c r="AL191" i="6"/>
  <c r="AJ191" i="6"/>
  <c r="AI191" i="6"/>
  <c r="AK190" i="6"/>
  <c r="AJ190" i="6"/>
  <c r="AI190" i="6"/>
  <c r="AM189" i="6"/>
  <c r="AK189" i="6"/>
  <c r="AI189" i="6"/>
  <c r="AM188" i="6"/>
  <c r="AK188" i="6"/>
  <c r="AI188" i="6"/>
  <c r="AI187" i="6"/>
  <c r="AK186" i="6"/>
  <c r="AI186" i="6"/>
  <c r="AI185" i="6"/>
  <c r="AI184" i="6"/>
  <c r="AM183" i="6"/>
  <c r="AK183" i="6"/>
  <c r="AI183" i="6"/>
  <c r="AM182" i="6"/>
  <c r="AK182" i="6"/>
  <c r="AI182" i="6"/>
  <c r="AM181" i="6"/>
  <c r="AK181" i="6"/>
  <c r="AI181" i="6"/>
  <c r="AM180" i="6"/>
  <c r="AK180" i="6"/>
  <c r="AJ180" i="6"/>
  <c r="AI180" i="6"/>
  <c r="AK179" i="6"/>
  <c r="AI179" i="6"/>
  <c r="AK178" i="6"/>
  <c r="AJ178" i="6"/>
  <c r="AI178" i="6"/>
  <c r="AM177" i="6"/>
  <c r="AK177" i="6"/>
  <c r="AI177" i="6"/>
  <c r="AM176" i="6"/>
  <c r="AL176" i="6"/>
  <c r="AK176" i="6"/>
  <c r="AI176" i="6"/>
  <c r="AM175" i="6"/>
  <c r="AL175" i="6"/>
  <c r="AK175" i="6"/>
  <c r="AI175" i="6"/>
  <c r="AK174" i="6"/>
  <c r="AI174" i="6"/>
  <c r="AM173" i="6"/>
  <c r="AK173" i="6"/>
  <c r="AJ173" i="6"/>
  <c r="AI173" i="6"/>
  <c r="AK172" i="6"/>
  <c r="AI172" i="6"/>
  <c r="AM168" i="6"/>
  <c r="AK168" i="6"/>
  <c r="AJ168" i="6"/>
  <c r="AI168" i="6"/>
  <c r="AM167" i="6"/>
  <c r="AK167" i="6"/>
  <c r="AJ167" i="6"/>
  <c r="AI167" i="6"/>
  <c r="AM166" i="6"/>
  <c r="AK166" i="6"/>
  <c r="AJ166" i="6"/>
  <c r="AI166" i="6"/>
  <c r="AM165" i="6"/>
  <c r="AK165" i="6"/>
  <c r="AK169" i="6" s="1"/>
  <c r="AJ165" i="6"/>
  <c r="AN165" i="6" s="1"/>
  <c r="AI165" i="6"/>
  <c r="AM164" i="6"/>
  <c r="AL164" i="6"/>
  <c r="AK164" i="6"/>
  <c r="AJ164" i="6"/>
  <c r="X160" i="6"/>
  <c r="AM161" i="6"/>
  <c r="AK161" i="6"/>
  <c r="AN161" i="6" s="1"/>
  <c r="AJ161" i="6"/>
  <c r="AI161" i="6"/>
  <c r="AM160" i="6"/>
  <c r="AK160" i="6"/>
  <c r="AJ160" i="6"/>
  <c r="AM159" i="6"/>
  <c r="AL159" i="6"/>
  <c r="AK159" i="6"/>
  <c r="AJ159" i="6"/>
  <c r="AM156" i="6"/>
  <c r="AM157" i="6" s="1"/>
  <c r="AK156" i="6"/>
  <c r="AK157" i="6"/>
  <c r="AJ156" i="6"/>
  <c r="AJ157" i="6" s="1"/>
  <c r="AM153" i="6"/>
  <c r="AK153" i="6"/>
  <c r="AI153" i="6"/>
  <c r="AM152" i="6"/>
  <c r="AK152" i="6"/>
  <c r="AJ152" i="6"/>
  <c r="AI152" i="6"/>
  <c r="AM151" i="6"/>
  <c r="AK151" i="6"/>
  <c r="AJ151" i="6"/>
  <c r="AI151" i="6"/>
  <c r="AM150" i="6"/>
  <c r="AK150" i="6"/>
  <c r="AJ150" i="6"/>
  <c r="AI150" i="6"/>
  <c r="AM149" i="6"/>
  <c r="AK149" i="6"/>
  <c r="AJ149" i="6"/>
  <c r="AI149" i="6"/>
  <c r="AM148" i="6"/>
  <c r="AK148" i="6"/>
  <c r="AJ148" i="6"/>
  <c r="AI148" i="6"/>
  <c r="AM147" i="6"/>
  <c r="AK147" i="6"/>
  <c r="AJ147" i="6"/>
  <c r="AI147" i="6"/>
  <c r="AI154" i="6" s="1"/>
  <c r="AB134" i="6"/>
  <c r="AA134" i="6"/>
  <c r="AA129" i="6"/>
  <c r="AB129" i="6"/>
  <c r="AM144" i="6"/>
  <c r="AL144" i="6"/>
  <c r="AK144" i="6"/>
  <c r="AI144" i="6"/>
  <c r="AM143" i="6"/>
  <c r="AL143" i="6"/>
  <c r="AK143" i="6"/>
  <c r="AJ143" i="6"/>
  <c r="AK142" i="6"/>
  <c r="AJ142" i="6"/>
  <c r="AI142" i="6"/>
  <c r="AM141" i="6"/>
  <c r="AN141" i="6" s="1"/>
  <c r="AL141" i="6"/>
  <c r="AK141" i="6"/>
  <c r="AI141" i="6"/>
  <c r="AK140" i="6"/>
  <c r="AJ140" i="6"/>
  <c r="AI140" i="6"/>
  <c r="AM139" i="6"/>
  <c r="AK139" i="6"/>
  <c r="AJ139" i="6"/>
  <c r="AI139" i="6"/>
  <c r="AK138" i="6"/>
  <c r="AJ138" i="6"/>
  <c r="AI138" i="6"/>
  <c r="AM137" i="6"/>
  <c r="AK137" i="6"/>
  <c r="AJ137" i="6"/>
  <c r="AI137" i="6"/>
  <c r="AM136" i="6"/>
  <c r="AK136" i="6"/>
  <c r="AJ136" i="6"/>
  <c r="AI136" i="6"/>
  <c r="AM135" i="6"/>
  <c r="AK135" i="6"/>
  <c r="AJ135" i="6"/>
  <c r="AI135" i="6"/>
  <c r="AK134" i="6"/>
  <c r="AJ134" i="6"/>
  <c r="AI134" i="6"/>
  <c r="AM133" i="6"/>
  <c r="AK133" i="6"/>
  <c r="AJ133" i="6"/>
  <c r="AI133" i="6"/>
  <c r="AK132" i="6"/>
  <c r="AJ132" i="6"/>
  <c r="AI132" i="6"/>
  <c r="AK131" i="6"/>
  <c r="AJ131" i="6"/>
  <c r="AI131" i="6"/>
  <c r="AM130" i="6"/>
  <c r="AL130" i="6"/>
  <c r="AN130" i="6" s="1"/>
  <c r="AK130" i="6"/>
  <c r="AJ130" i="6"/>
  <c r="AK129" i="6"/>
  <c r="AJ129" i="6"/>
  <c r="AI129" i="6"/>
  <c r="AA126" i="6"/>
  <c r="Y121" i="6"/>
  <c r="AJ121" i="6"/>
  <c r="AN121" i="6" s="1"/>
  <c r="AM126" i="6"/>
  <c r="AK126" i="6"/>
  <c r="AJ126" i="6"/>
  <c r="AI126" i="6"/>
  <c r="AL125" i="6"/>
  <c r="AJ125" i="6"/>
  <c r="AI125" i="6"/>
  <c r="AM124" i="6"/>
  <c r="AJ124" i="6"/>
  <c r="AI124" i="6"/>
  <c r="AL123" i="6"/>
  <c r="AK123" i="6"/>
  <c r="AJ123" i="6"/>
  <c r="AI123" i="6"/>
  <c r="AM122" i="6"/>
  <c r="AK122" i="6"/>
  <c r="AI122" i="6"/>
  <c r="AM121" i="6"/>
  <c r="AL121" i="6"/>
  <c r="AK121" i="6"/>
  <c r="AI121" i="6"/>
  <c r="AL120" i="6"/>
  <c r="AK120" i="6"/>
  <c r="AJ120" i="6"/>
  <c r="AN120" i="6" s="1"/>
  <c r="AI120" i="6"/>
  <c r="AL119" i="6"/>
  <c r="AK119" i="6"/>
  <c r="AJ119" i="6"/>
  <c r="AI119" i="6"/>
  <c r="AM118" i="6"/>
  <c r="AK118" i="6"/>
  <c r="AJ118" i="6"/>
  <c r="AI118" i="6"/>
  <c r="AM117" i="6"/>
  <c r="AK117" i="6"/>
  <c r="AJ117" i="6"/>
  <c r="AI117" i="6"/>
  <c r="AL116" i="6"/>
  <c r="AK116" i="6"/>
  <c r="AJ116" i="6"/>
  <c r="AI116" i="6"/>
  <c r="AL115" i="6"/>
  <c r="AJ115" i="6"/>
  <c r="AI115" i="6"/>
  <c r="AL114" i="6"/>
  <c r="AK114" i="6"/>
  <c r="AJ114" i="6"/>
  <c r="AI114" i="6"/>
  <c r="AI127" i="6" s="1"/>
  <c r="AA110" i="6"/>
  <c r="AL110" i="6" s="1"/>
  <c r="AB109" i="6"/>
  <c r="AM109" i="6" s="1"/>
  <c r="AA109" i="6"/>
  <c r="AL109" i="6" s="1"/>
  <c r="AM9" i="6"/>
  <c r="AK9" i="6"/>
  <c r="AJ9" i="6"/>
  <c r="AI9" i="6"/>
  <c r="AM8" i="6"/>
  <c r="AK8" i="6"/>
  <c r="AJ8" i="6"/>
  <c r="AI8" i="6"/>
  <c r="AL7" i="6"/>
  <c r="AK7" i="6"/>
  <c r="AJ7" i="6"/>
  <c r="AI7" i="6"/>
  <c r="AK6" i="6"/>
  <c r="AJ6" i="6"/>
  <c r="AI6" i="6"/>
  <c r="AK5" i="6"/>
  <c r="AJ5" i="6"/>
  <c r="AI5" i="6"/>
  <c r="AM21" i="6"/>
  <c r="AK21" i="6"/>
  <c r="AI21" i="6"/>
  <c r="AM20" i="6"/>
  <c r="AK20" i="6"/>
  <c r="AI20" i="6"/>
  <c r="AM19" i="6"/>
  <c r="AL19" i="6"/>
  <c r="AI19" i="6"/>
  <c r="AL18" i="6"/>
  <c r="AK18" i="6"/>
  <c r="AJ18" i="6"/>
  <c r="AI18" i="6"/>
  <c r="AM17" i="6"/>
  <c r="AL17" i="6"/>
  <c r="AK17" i="6"/>
  <c r="AI17" i="6"/>
  <c r="AM16" i="6"/>
  <c r="AK16" i="6"/>
  <c r="AI16" i="6"/>
  <c r="AM15" i="6"/>
  <c r="AL15" i="6"/>
  <c r="AI15" i="6"/>
  <c r="AM14" i="6"/>
  <c r="AL14" i="6"/>
  <c r="AK14" i="6"/>
  <c r="AI14" i="6"/>
  <c r="AM13" i="6"/>
  <c r="AK13" i="6"/>
  <c r="AI13" i="6"/>
  <c r="AM27" i="6"/>
  <c r="AL27" i="6"/>
  <c r="AK27" i="6"/>
  <c r="AI27" i="6"/>
  <c r="AM26" i="6"/>
  <c r="AL26" i="6"/>
  <c r="AK26" i="6"/>
  <c r="AI26" i="6"/>
  <c r="AM25" i="6"/>
  <c r="AL25" i="6"/>
  <c r="AK25" i="6"/>
  <c r="AI25" i="6"/>
  <c r="AI28" i="6" s="1"/>
  <c r="AM24" i="6"/>
  <c r="AL24" i="6"/>
  <c r="AK24" i="6"/>
  <c r="AI24" i="6"/>
  <c r="AM66" i="6"/>
  <c r="AL66" i="6"/>
  <c r="AI66" i="6"/>
  <c r="AM65" i="6"/>
  <c r="AL65" i="6"/>
  <c r="AI65" i="6"/>
  <c r="AM64" i="6"/>
  <c r="AL64" i="6"/>
  <c r="AJ64" i="6"/>
  <c r="AI64" i="6"/>
  <c r="AM63" i="6"/>
  <c r="AL63" i="6"/>
  <c r="AJ63" i="6"/>
  <c r="AI63" i="6"/>
  <c r="AM62" i="6"/>
  <c r="AL62" i="6"/>
  <c r="AK62" i="6"/>
  <c r="AI62" i="6"/>
  <c r="AM61" i="6"/>
  <c r="AL61" i="6"/>
  <c r="AK61" i="6"/>
  <c r="AI61" i="6"/>
  <c r="AM60" i="6"/>
  <c r="AL60" i="6"/>
  <c r="AI60" i="6"/>
  <c r="AM59" i="6"/>
  <c r="AL59" i="6"/>
  <c r="AI59" i="6"/>
  <c r="AM58" i="6"/>
  <c r="AL58" i="6"/>
  <c r="AI58" i="6"/>
  <c r="AM57" i="6"/>
  <c r="AK57" i="6"/>
  <c r="AJ57" i="6"/>
  <c r="AI57" i="6"/>
  <c r="AM56" i="6"/>
  <c r="AL56" i="6"/>
  <c r="AJ56" i="6"/>
  <c r="AI56" i="6"/>
  <c r="AM55" i="6"/>
  <c r="AL55" i="6"/>
  <c r="AJ55" i="6"/>
  <c r="AI55" i="6"/>
  <c r="AM54" i="6"/>
  <c r="AL54" i="6"/>
  <c r="AJ54" i="6"/>
  <c r="AI54" i="6"/>
  <c r="AM53" i="6"/>
  <c r="AL53" i="6"/>
  <c r="AI53" i="6"/>
  <c r="AM52" i="6"/>
  <c r="AK52" i="6"/>
  <c r="AJ52" i="6"/>
  <c r="AN52" i="6" s="1"/>
  <c r="AI52" i="6"/>
  <c r="AM51" i="6"/>
  <c r="AL51" i="6"/>
  <c r="AK51" i="6"/>
  <c r="AM50" i="6"/>
  <c r="AL50" i="6"/>
  <c r="AJ50" i="6"/>
  <c r="AI50" i="6"/>
  <c r="AM49" i="6"/>
  <c r="AL49" i="6"/>
  <c r="AK49" i="6"/>
  <c r="AJ49" i="6"/>
  <c r="AN49" i="6" s="1"/>
  <c r="AM48" i="6"/>
  <c r="AL48" i="6"/>
  <c r="AJ48" i="6"/>
  <c r="AM47" i="6"/>
  <c r="AN47" i="6" s="1"/>
  <c r="AL47" i="6"/>
  <c r="AK47" i="6"/>
  <c r="AJ47" i="6"/>
  <c r="AM46" i="6"/>
  <c r="AL46" i="6"/>
  <c r="AJ46" i="6"/>
  <c r="AI46" i="6"/>
  <c r="AL45" i="6"/>
  <c r="AJ45" i="6"/>
  <c r="AI45" i="6"/>
  <c r="AM44" i="6"/>
  <c r="AL44" i="6"/>
  <c r="AI44" i="6"/>
  <c r="AM43" i="6"/>
  <c r="AL43" i="6"/>
  <c r="AI43" i="6"/>
  <c r="AM42" i="6"/>
  <c r="AL42" i="6"/>
  <c r="AJ42" i="6"/>
  <c r="AI42" i="6"/>
  <c r="AM41" i="6"/>
  <c r="AL41" i="6"/>
  <c r="AJ41" i="6"/>
  <c r="AI41" i="6"/>
  <c r="AM40" i="6"/>
  <c r="AL40" i="6"/>
  <c r="AJ40" i="6"/>
  <c r="AI40" i="6"/>
  <c r="AM39" i="6"/>
  <c r="AL39" i="6"/>
  <c r="AI39" i="6"/>
  <c r="AM38" i="6"/>
  <c r="AL38" i="6"/>
  <c r="AK38" i="6"/>
  <c r="AI38" i="6"/>
  <c r="AM37" i="6"/>
  <c r="AL37" i="6"/>
  <c r="AJ37" i="6"/>
  <c r="AI37" i="6"/>
  <c r="AM36" i="6"/>
  <c r="AL36" i="6"/>
  <c r="AJ36" i="6"/>
  <c r="AI36" i="6"/>
  <c r="AM35" i="6"/>
  <c r="AL35" i="6"/>
  <c r="AJ35" i="6"/>
  <c r="AM34" i="6"/>
  <c r="AL34" i="6"/>
  <c r="AK34" i="6"/>
  <c r="AI34" i="6"/>
  <c r="AM33" i="6"/>
  <c r="AL33" i="6"/>
  <c r="AJ33" i="6"/>
  <c r="AI33" i="6"/>
  <c r="AM32" i="6"/>
  <c r="AL32" i="6"/>
  <c r="AJ32" i="6"/>
  <c r="AI32" i="6"/>
  <c r="AM31" i="6"/>
  <c r="AL31" i="6"/>
  <c r="AK31" i="6"/>
  <c r="AI31" i="6"/>
  <c r="AM30" i="6"/>
  <c r="AL30" i="6"/>
  <c r="AJ30" i="6"/>
  <c r="AI30" i="6"/>
  <c r="AM111" i="6"/>
  <c r="AK111" i="6"/>
  <c r="AJ111" i="6"/>
  <c r="AI111" i="6"/>
  <c r="AM110" i="6"/>
  <c r="AK110" i="6"/>
  <c r="AN110" i="6" s="1"/>
  <c r="AJ110" i="6"/>
  <c r="AI110" i="6"/>
  <c r="AK109" i="6"/>
  <c r="AJ109" i="6"/>
  <c r="AI109" i="6"/>
  <c r="AM108" i="6"/>
  <c r="AK108" i="6"/>
  <c r="AJ108" i="6"/>
  <c r="AI108" i="6"/>
  <c r="AK107" i="6"/>
  <c r="AI107" i="6"/>
  <c r="AA97" i="6"/>
  <c r="AB97" i="6" s="1"/>
  <c r="AA95" i="6"/>
  <c r="AA89" i="6"/>
  <c r="AM101" i="6"/>
  <c r="AL101" i="6"/>
  <c r="AI101" i="6"/>
  <c r="AM100" i="6"/>
  <c r="AL100" i="6"/>
  <c r="AK100" i="6"/>
  <c r="AI100" i="6"/>
  <c r="AM99" i="6"/>
  <c r="AL99" i="6"/>
  <c r="AK99" i="6"/>
  <c r="AN99" i="6" s="1"/>
  <c r="AJ99" i="6"/>
  <c r="AM98" i="6"/>
  <c r="AK98" i="6"/>
  <c r="AJ98" i="6"/>
  <c r="AI98" i="6"/>
  <c r="AK97" i="6"/>
  <c r="AJ97" i="6"/>
  <c r="AI97" i="6"/>
  <c r="AL96" i="6"/>
  <c r="AJ96" i="6"/>
  <c r="AI96" i="6"/>
  <c r="AK95" i="6"/>
  <c r="AJ95" i="6"/>
  <c r="AI95" i="6"/>
  <c r="AL94" i="6"/>
  <c r="AK94" i="6"/>
  <c r="AJ94" i="6"/>
  <c r="AI94" i="6"/>
  <c r="AL93" i="6"/>
  <c r="AJ93" i="6"/>
  <c r="AI93" i="6"/>
  <c r="AJ92" i="6"/>
  <c r="AI92" i="6"/>
  <c r="AL91" i="6"/>
  <c r="AK91" i="6"/>
  <c r="AJ91" i="6"/>
  <c r="AI91" i="6"/>
  <c r="AL90" i="6"/>
  <c r="AK90" i="6"/>
  <c r="AJ90" i="6"/>
  <c r="AI90" i="6"/>
  <c r="AM89" i="6"/>
  <c r="AK89" i="6"/>
  <c r="AJ89" i="6"/>
  <c r="AI89" i="6"/>
  <c r="AM88" i="6"/>
  <c r="AL88" i="6"/>
  <c r="AK88" i="6"/>
  <c r="AI88" i="6"/>
  <c r="AL87" i="6"/>
  <c r="AK87" i="6"/>
  <c r="AJ87" i="6"/>
  <c r="AI87" i="6"/>
  <c r="AM84" i="6"/>
  <c r="AL84" i="6"/>
  <c r="AI84" i="6"/>
  <c r="AM83" i="6"/>
  <c r="AL83" i="6"/>
  <c r="AJ83" i="6"/>
  <c r="AI83" i="6"/>
  <c r="AM82" i="6"/>
  <c r="AL82" i="6"/>
  <c r="AI82" i="6"/>
  <c r="AM81" i="6"/>
  <c r="AK81" i="6"/>
  <c r="AJ81" i="6"/>
  <c r="AI81" i="6"/>
  <c r="AM80" i="6"/>
  <c r="AL80" i="6"/>
  <c r="AJ80" i="6"/>
  <c r="AI80" i="6"/>
  <c r="AM79" i="6"/>
  <c r="AL79" i="6"/>
  <c r="AI79" i="6"/>
  <c r="AM78" i="6"/>
  <c r="AL78" i="6"/>
  <c r="AJ78" i="6"/>
  <c r="AI78" i="6"/>
  <c r="AM77" i="6"/>
  <c r="AL77" i="6"/>
  <c r="AI77" i="6"/>
  <c r="AM76" i="6"/>
  <c r="AL76" i="6"/>
  <c r="AJ76" i="6"/>
  <c r="AI76" i="6"/>
  <c r="AM75" i="6"/>
  <c r="AL75" i="6"/>
  <c r="AJ75" i="6"/>
  <c r="AI75" i="6"/>
  <c r="AM74" i="6"/>
  <c r="AL74" i="6"/>
  <c r="AI74" i="6"/>
  <c r="AM73" i="6"/>
  <c r="AL73" i="6"/>
  <c r="AJ73" i="6"/>
  <c r="AI73" i="6"/>
  <c r="AM70" i="6"/>
  <c r="AM71" i="6" s="1"/>
  <c r="AK70" i="6"/>
  <c r="AJ70" i="6"/>
  <c r="AI70" i="6"/>
  <c r="AM69" i="6"/>
  <c r="AK69" i="6"/>
  <c r="AJ69" i="6"/>
  <c r="AI69" i="6"/>
  <c r="Y34" i="6"/>
  <c r="Y17" i="6"/>
  <c r="AM12" i="6"/>
  <c r="AL12" i="6"/>
  <c r="AK12" i="6"/>
  <c r="AJ12" i="6"/>
  <c r="AI12" i="6"/>
  <c r="AM11" i="6"/>
  <c r="AL11" i="6"/>
  <c r="AK11" i="6"/>
  <c r="AJ11" i="6"/>
  <c r="AI11" i="6"/>
  <c r="AA6" i="6"/>
  <c r="AA5" i="6"/>
  <c r="AB5" i="6" s="1"/>
  <c r="W192" i="6"/>
  <c r="AC192" i="6" s="1"/>
  <c r="W380" i="6"/>
  <c r="W363" i="6"/>
  <c r="W331" i="6"/>
  <c r="W248" i="6"/>
  <c r="AY248" i="6" s="1"/>
  <c r="X51" i="6"/>
  <c r="Y51" i="6" s="1"/>
  <c r="AX4" i="7"/>
  <c r="AZ4" i="7"/>
  <c r="BA4" i="7"/>
  <c r="BB4" i="7"/>
  <c r="BC4" i="7"/>
  <c r="AX5" i="7"/>
  <c r="AZ5" i="7"/>
  <c r="BA5" i="7"/>
  <c r="BB5" i="7"/>
  <c r="BC5" i="7"/>
  <c r="AX6" i="7"/>
  <c r="AZ6" i="7"/>
  <c r="BA6" i="7"/>
  <c r="BB6" i="7"/>
  <c r="BC6" i="7"/>
  <c r="AX7" i="7"/>
  <c r="AZ7" i="7"/>
  <c r="BA7" i="7"/>
  <c r="BB7" i="7"/>
  <c r="BC7" i="7"/>
  <c r="AX8" i="7"/>
  <c r="AZ8" i="7"/>
  <c r="BA8" i="7"/>
  <c r="BB8" i="7"/>
  <c r="BC8" i="7"/>
  <c r="AX9" i="7"/>
  <c r="AZ9" i="7"/>
  <c r="BA9" i="7"/>
  <c r="BB9" i="7"/>
  <c r="BC9" i="7"/>
  <c r="AX10" i="7"/>
  <c r="AZ10" i="7"/>
  <c r="BA10" i="7"/>
  <c r="BB10" i="7"/>
  <c r="BC10" i="7"/>
  <c r="AX11" i="7"/>
  <c r="AZ11" i="7"/>
  <c r="BA11" i="7"/>
  <c r="BB11" i="7"/>
  <c r="BC11" i="7"/>
  <c r="AX12" i="7"/>
  <c r="AZ12" i="7"/>
  <c r="BA12" i="7"/>
  <c r="BB12" i="7"/>
  <c r="BC12" i="7"/>
  <c r="AX13" i="7"/>
  <c r="AZ13" i="7"/>
  <c r="BA13" i="7"/>
  <c r="BB13" i="7"/>
  <c r="BC13" i="7"/>
  <c r="Y525" i="6"/>
  <c r="AJ525" i="6" s="1"/>
  <c r="Y524" i="6"/>
  <c r="AJ524" i="6" s="1"/>
  <c r="AA523" i="6"/>
  <c r="AA522" i="6"/>
  <c r="AL522" i="6" s="1"/>
  <c r="AA521" i="6"/>
  <c r="X526" i="6"/>
  <c r="X528" i="6" s="1"/>
  <c r="AB526" i="6"/>
  <c r="AB528" i="6"/>
  <c r="AB49" i="8" s="1"/>
  <c r="AD526" i="6"/>
  <c r="AD528" i="6" s="1"/>
  <c r="AD49" i="8" s="1"/>
  <c r="AF526" i="6"/>
  <c r="AF528" i="6" s="1"/>
  <c r="AD517" i="6"/>
  <c r="AD47" i="8" s="1"/>
  <c r="AE517" i="6"/>
  <c r="AE47" i="8"/>
  <c r="AF517" i="6"/>
  <c r="AA508" i="6"/>
  <c r="AL508" i="6"/>
  <c r="AA505" i="6"/>
  <c r="AB504" i="6"/>
  <c r="AA503" i="6"/>
  <c r="AL503" i="6" s="1"/>
  <c r="AB498" i="6"/>
  <c r="AM498" i="6" s="1"/>
  <c r="AB494" i="6"/>
  <c r="AM494" i="6" s="1"/>
  <c r="AB488" i="6"/>
  <c r="AM488" i="6"/>
  <c r="AB489" i="6"/>
  <c r="AM489" i="6" s="1"/>
  <c r="AB490" i="6"/>
  <c r="AM490" i="6" s="1"/>
  <c r="AB487" i="6"/>
  <c r="AM487" i="6" s="1"/>
  <c r="AB483" i="6"/>
  <c r="AM483" i="6"/>
  <c r="AB484" i="6"/>
  <c r="AM484" i="6"/>
  <c r="AB485" i="6"/>
  <c r="AM485" i="6" s="1"/>
  <c r="AB482" i="6"/>
  <c r="AM482" i="6" s="1"/>
  <c r="AB479" i="6"/>
  <c r="AM479" i="6" s="1"/>
  <c r="AN479" i="6" s="1"/>
  <c r="AB478" i="6"/>
  <c r="Z469" i="6"/>
  <c r="Z45" i="8" s="1"/>
  <c r="AA469" i="6"/>
  <c r="AA45" i="8" s="1"/>
  <c r="AB469" i="6"/>
  <c r="AB45" i="8" s="1"/>
  <c r="AF469" i="6"/>
  <c r="AF45" i="8" s="1"/>
  <c r="AG469" i="6"/>
  <c r="AG45" i="8" s="1"/>
  <c r="AH469" i="6"/>
  <c r="AH45" i="8" s="1"/>
  <c r="Y442" i="6"/>
  <c r="AA440" i="6"/>
  <c r="Z451" i="6"/>
  <c r="Z10" i="7" s="1"/>
  <c r="AD451" i="6"/>
  <c r="W438" i="6"/>
  <c r="W43" i="8" s="1"/>
  <c r="X438" i="6"/>
  <c r="X43" i="8" s="1"/>
  <c r="Y438" i="6"/>
  <c r="Y43" i="8" s="1"/>
  <c r="Z438" i="6"/>
  <c r="Z43" i="8" s="1"/>
  <c r="AB438" i="6"/>
  <c r="AB43" i="8" s="1"/>
  <c r="AD438" i="6"/>
  <c r="AE438" i="6"/>
  <c r="AF438" i="6"/>
  <c r="AF43" i="8" s="1"/>
  <c r="AH438" i="6"/>
  <c r="AH43" i="8"/>
  <c r="AA436" i="6"/>
  <c r="AA437" i="6"/>
  <c r="AA435" i="6"/>
  <c r="AA431" i="6"/>
  <c r="AA429" i="6"/>
  <c r="W432" i="6"/>
  <c r="X432" i="6"/>
  <c r="X41" i="8" s="1"/>
  <c r="Z432" i="6"/>
  <c r="Z41" i="8" s="1"/>
  <c r="AB432" i="6"/>
  <c r="AB41" i="8" s="1"/>
  <c r="AD432" i="6"/>
  <c r="AD41" i="8" s="1"/>
  <c r="AF432" i="6"/>
  <c r="AF41" i="8" s="1"/>
  <c r="AH432" i="6"/>
  <c r="AH41" i="8" s="1"/>
  <c r="W427" i="6"/>
  <c r="W40" i="8" s="1"/>
  <c r="X427" i="6"/>
  <c r="X40" i="8"/>
  <c r="AD427" i="6"/>
  <c r="AD40" i="8" s="1"/>
  <c r="AE427" i="6"/>
  <c r="AE40" i="8" s="1"/>
  <c r="AF427" i="6"/>
  <c r="AF40" i="8"/>
  <c r="AA424" i="6"/>
  <c r="AL424" i="6" s="1"/>
  <c r="AA423" i="6"/>
  <c r="AA419" i="6"/>
  <c r="AA417" i="6"/>
  <c r="AL417" i="6" s="1"/>
  <c r="AB410" i="6"/>
  <c r="AM410" i="6" s="1"/>
  <c r="AB408" i="6"/>
  <c r="AM408" i="6" s="1"/>
  <c r="W414" i="6"/>
  <c r="W39" i="8"/>
  <c r="X414" i="6"/>
  <c r="AD414" i="6"/>
  <c r="AD39" i="8" s="1"/>
  <c r="AE414" i="6"/>
  <c r="AE39" i="8"/>
  <c r="AF414" i="6"/>
  <c r="AA399" i="6"/>
  <c r="AL399" i="6"/>
  <c r="AA398" i="6"/>
  <c r="AL398" i="6" s="1"/>
  <c r="AA397" i="6"/>
  <c r="AL397" i="6" s="1"/>
  <c r="W403" i="6"/>
  <c r="W37" i="8" s="1"/>
  <c r="X403" i="6"/>
  <c r="X37" i="8" s="1"/>
  <c r="Z403" i="6"/>
  <c r="Z37" i="8" s="1"/>
  <c r="AB403" i="6"/>
  <c r="AB37" i="8" s="1"/>
  <c r="AD403" i="6"/>
  <c r="AD37" i="8" s="1"/>
  <c r="AF403" i="6"/>
  <c r="AF37" i="8" s="1"/>
  <c r="AH403" i="6"/>
  <c r="AH37" i="8" s="1"/>
  <c r="AA378" i="6"/>
  <c r="AL378" i="6" s="1"/>
  <c r="X381" i="6"/>
  <c r="X35" i="8" s="1"/>
  <c r="Z381" i="6"/>
  <c r="Z35" i="8" s="1"/>
  <c r="AB381" i="6"/>
  <c r="AB35" i="8" s="1"/>
  <c r="AD381" i="6"/>
  <c r="AD35" i="8" s="1"/>
  <c r="AF381" i="6"/>
  <c r="AF35" i="8" s="1"/>
  <c r="AH381" i="6"/>
  <c r="AH35" i="8" s="1"/>
  <c r="AA375" i="6"/>
  <c r="AL375" i="6" s="1"/>
  <c r="AA368" i="6"/>
  <c r="AB368" i="6" s="1"/>
  <c r="W376" i="6"/>
  <c r="W34" i="8" s="1"/>
  <c r="X376" i="6"/>
  <c r="X34" i="8" s="1"/>
  <c r="Z376" i="6"/>
  <c r="Z34" i="8" s="1"/>
  <c r="AD376" i="6"/>
  <c r="AD34" i="8" s="1"/>
  <c r="AF376" i="6"/>
  <c r="AF34" i="8" s="1"/>
  <c r="AA361" i="6"/>
  <c r="AL361" i="6" s="1"/>
  <c r="AA358" i="6"/>
  <c r="AL358" i="6" s="1"/>
  <c r="AA357" i="6"/>
  <c r="AL357" i="6" s="1"/>
  <c r="AA356" i="6"/>
  <c r="AL356" i="6"/>
  <c r="AA355" i="6"/>
  <c r="AL355" i="6"/>
  <c r="X366" i="6"/>
  <c r="X33" i="8" s="1"/>
  <c r="AD366" i="6"/>
  <c r="AD33" i="8" s="1"/>
  <c r="AB349" i="6"/>
  <c r="W350" i="6"/>
  <c r="X350" i="6"/>
  <c r="X32" i="8" s="1"/>
  <c r="Y350" i="6"/>
  <c r="Y32" i="8" s="1"/>
  <c r="Z350" i="6"/>
  <c r="Z32" i="8" s="1"/>
  <c r="AA350" i="6"/>
  <c r="AA32" i="8" s="1"/>
  <c r="AD350" i="6"/>
  <c r="AE350" i="6"/>
  <c r="AE32" i="8"/>
  <c r="AF350" i="6"/>
  <c r="AF32" i="8" s="1"/>
  <c r="AG350" i="6"/>
  <c r="AG32" i="8" s="1"/>
  <c r="AA342" i="6"/>
  <c r="AL342" i="6" s="1"/>
  <c r="AA341" i="6"/>
  <c r="W346" i="6"/>
  <c r="W31" i="8" s="1"/>
  <c r="X346" i="6"/>
  <c r="X31" i="8" s="1"/>
  <c r="AB346" i="6"/>
  <c r="AB31" i="8" s="1"/>
  <c r="AD346" i="6"/>
  <c r="AD31" i="8"/>
  <c r="AB335" i="6"/>
  <c r="AB30" i="8" s="1"/>
  <c r="AD335" i="6"/>
  <c r="AD30" i="8" s="1"/>
  <c r="AA327" i="6"/>
  <c r="AA318" i="6"/>
  <c r="AA316" i="6"/>
  <c r="AA310" i="6"/>
  <c r="AA308" i="6"/>
  <c r="AL308" i="6" s="1"/>
  <c r="AA309" i="6"/>
  <c r="AA307" i="6"/>
  <c r="AL307" i="6" s="1"/>
  <c r="AA304" i="6"/>
  <c r="AA303" i="6"/>
  <c r="AA300" i="6"/>
  <c r="W298" i="6"/>
  <c r="W29" i="8" s="1"/>
  <c r="X298" i="6"/>
  <c r="X29" i="8" s="1"/>
  <c r="Y298" i="6"/>
  <c r="Y29" i="8" s="1"/>
  <c r="Z298" i="6"/>
  <c r="Z29" i="8"/>
  <c r="AB298" i="6"/>
  <c r="AB29" i="8" s="1"/>
  <c r="AD298" i="6"/>
  <c r="AD29" i="8" s="1"/>
  <c r="AE298" i="6"/>
  <c r="AE29" i="8" s="1"/>
  <c r="AF298" i="6"/>
  <c r="AF29" i="8" s="1"/>
  <c r="AH298" i="6"/>
  <c r="AH29" i="8" s="1"/>
  <c r="AA289" i="6"/>
  <c r="AA290" i="6"/>
  <c r="AA291" i="6"/>
  <c r="AA292" i="6"/>
  <c r="AA293" i="6"/>
  <c r="AA294" i="6"/>
  <c r="AA295" i="6"/>
  <c r="AA296" i="6"/>
  <c r="AA297" i="6"/>
  <c r="AA288" i="6"/>
  <c r="Y284" i="6"/>
  <c r="W286" i="6"/>
  <c r="W28" i="8" s="1"/>
  <c r="X286" i="6"/>
  <c r="X28" i="8" s="1"/>
  <c r="Z286" i="6"/>
  <c r="Z28" i="8" s="1"/>
  <c r="AA286" i="6"/>
  <c r="AA28" i="8" s="1"/>
  <c r="AB286" i="6"/>
  <c r="AB28" i="8" s="1"/>
  <c r="AD286" i="6"/>
  <c r="AD28" i="8" s="1"/>
  <c r="W282" i="6"/>
  <c r="W27" i="8" s="1"/>
  <c r="X282" i="6"/>
  <c r="X27" i="8" s="1"/>
  <c r="AA282" i="6"/>
  <c r="AA27" i="8"/>
  <c r="AB282" i="6"/>
  <c r="AB27" i="8" s="1"/>
  <c r="AD282" i="6"/>
  <c r="AD27" i="8" s="1"/>
  <c r="AG282" i="6"/>
  <c r="AG27" i="8"/>
  <c r="AH282" i="6"/>
  <c r="AH27" i="8" s="1"/>
  <c r="Y281" i="6"/>
  <c r="Y282" i="6" s="1"/>
  <c r="Y27" i="8" s="1"/>
  <c r="W278" i="6"/>
  <c r="W26" i="8" s="1"/>
  <c r="X278" i="6"/>
  <c r="X26" i="8" s="1"/>
  <c r="AB278" i="6"/>
  <c r="AB26" i="8" s="1"/>
  <c r="AD278" i="6"/>
  <c r="AD26" i="8" s="1"/>
  <c r="Y276" i="6"/>
  <c r="Y278" i="6" s="1"/>
  <c r="Y26" i="8" s="1"/>
  <c r="AA275" i="6"/>
  <c r="Y274" i="6"/>
  <c r="AA273" i="6"/>
  <c r="AA271" i="6"/>
  <c r="Y270" i="6"/>
  <c r="Y269" i="6"/>
  <c r="AA268" i="6"/>
  <c r="AL268" i="6" s="1"/>
  <c r="AA265" i="6"/>
  <c r="AA278" i="6" s="1"/>
  <c r="AA26" i="8" s="1"/>
  <c r="AA266" i="6"/>
  <c r="AA262" i="6"/>
  <c r="AA260" i="6"/>
  <c r="Y259" i="6"/>
  <c r="W256" i="6"/>
  <c r="W25" i="8" s="1"/>
  <c r="X256" i="6"/>
  <c r="X25" i="8" s="1"/>
  <c r="Z256" i="6"/>
  <c r="Z25" i="8" s="1"/>
  <c r="AA256" i="6"/>
  <c r="AA25" i="8" s="1"/>
  <c r="AB256" i="6"/>
  <c r="AB25" i="8" s="1"/>
  <c r="AD256" i="6"/>
  <c r="AD25" i="8" s="1"/>
  <c r="AE256" i="6"/>
  <c r="AE25" i="8" s="1"/>
  <c r="AF256" i="6"/>
  <c r="AF25" i="8" s="1"/>
  <c r="AH256" i="6"/>
  <c r="AH25" i="8"/>
  <c r="Z249" i="6"/>
  <c r="Z24" i="8" s="1"/>
  <c r="AB249" i="6"/>
  <c r="AB24" i="8" s="1"/>
  <c r="AD249" i="6"/>
  <c r="AD24" i="8" s="1"/>
  <c r="AE249" i="6"/>
  <c r="AE24" i="8" s="1"/>
  <c r="AF249" i="6"/>
  <c r="AF24" i="8" s="1"/>
  <c r="AH249" i="6"/>
  <c r="AH24" i="8" s="1"/>
  <c r="AA246" i="6"/>
  <c r="AL246" i="6" s="1"/>
  <c r="AA247" i="6"/>
  <c r="AL247" i="6"/>
  <c r="AA245" i="6"/>
  <c r="AL245" i="6" s="1"/>
  <c r="AN245" i="6" s="1"/>
  <c r="AA241" i="6"/>
  <c r="AL241" i="6" s="1"/>
  <c r="W239" i="6"/>
  <c r="W23" i="8" s="1"/>
  <c r="X239" i="6"/>
  <c r="X23" i="8"/>
  <c r="Z239" i="6"/>
  <c r="Z23" i="8" s="1"/>
  <c r="AB239" i="6"/>
  <c r="AB23" i="8" s="1"/>
  <c r="AD239" i="6"/>
  <c r="AD23" i="8" s="1"/>
  <c r="AE239" i="6"/>
  <c r="AE23" i="8" s="1"/>
  <c r="AF239" i="6"/>
  <c r="AF23" i="8" s="1"/>
  <c r="AH239" i="6"/>
  <c r="AH23" i="8" s="1"/>
  <c r="AA236" i="6"/>
  <c r="AL236" i="6" s="1"/>
  <c r="AA234" i="6"/>
  <c r="AA231" i="6"/>
  <c r="AL231" i="6" s="1"/>
  <c r="AA232" i="6"/>
  <c r="AL232" i="6" s="1"/>
  <c r="AA233" i="6"/>
  <c r="AL233" i="6" s="1"/>
  <c r="AA230" i="6"/>
  <c r="AL230" i="6" s="1"/>
  <c r="AN230" i="6" s="1"/>
  <c r="AA229" i="6"/>
  <c r="AL229" i="6" s="1"/>
  <c r="AN229" i="6" s="1"/>
  <c r="AA226" i="6"/>
  <c r="AL226" i="6" s="1"/>
  <c r="AA225" i="6"/>
  <c r="AL225" i="6" s="1"/>
  <c r="AA224" i="6"/>
  <c r="AA222" i="6"/>
  <c r="AL222" i="6"/>
  <c r="AA221" i="6"/>
  <c r="AL221" i="6" s="1"/>
  <c r="AA220" i="6"/>
  <c r="AA219" i="6"/>
  <c r="AA218" i="6"/>
  <c r="AL218" i="6" s="1"/>
  <c r="AA217" i="6"/>
  <c r="AA216" i="6"/>
  <c r="AA214" i="6"/>
  <c r="AL214" i="6" s="1"/>
  <c r="AA215" i="6"/>
  <c r="AL215" i="6" s="1"/>
  <c r="AA213" i="6"/>
  <c r="AL213" i="6"/>
  <c r="AN213" i="6" s="1"/>
  <c r="AA212" i="6"/>
  <c r="W210" i="6"/>
  <c r="W22" i="8" s="1"/>
  <c r="X210" i="6"/>
  <c r="X22" i="8" s="1"/>
  <c r="AD210" i="6"/>
  <c r="AD22" i="8"/>
  <c r="AF210" i="6"/>
  <c r="AF22" i="8" s="1"/>
  <c r="AA209" i="6"/>
  <c r="AA208" i="6"/>
  <c r="AL208" i="6" s="1"/>
  <c r="AA206" i="6"/>
  <c r="AA210" i="6" s="1"/>
  <c r="AA22" i="8" s="1"/>
  <c r="Y205" i="6"/>
  <c r="Y210" i="6" s="1"/>
  <c r="Y22" i="8" s="1"/>
  <c r="W200" i="6"/>
  <c r="W20" i="8"/>
  <c r="X200" i="6"/>
  <c r="X20" i="8" s="1"/>
  <c r="Y200" i="6"/>
  <c r="Y20" i="8" s="1"/>
  <c r="AD200" i="6"/>
  <c r="AD20" i="8"/>
  <c r="AE200" i="6"/>
  <c r="AE20" i="8" s="1"/>
  <c r="AF200" i="6"/>
  <c r="AF20" i="8" s="1"/>
  <c r="AA199" i="6"/>
  <c r="AL199" i="6" s="1"/>
  <c r="AB198" i="6"/>
  <c r="AB200" i="6" s="1"/>
  <c r="AA198" i="6"/>
  <c r="X193" i="6"/>
  <c r="X19" i="8" s="1"/>
  <c r="AD193" i="6"/>
  <c r="AD19" i="8" s="1"/>
  <c r="AF193" i="6"/>
  <c r="AF19" i="8" s="1"/>
  <c r="AB186" i="6"/>
  <c r="AA186" i="6"/>
  <c r="AL186" i="6" s="1"/>
  <c r="AA180" i="6"/>
  <c r="AL180" i="6" s="1"/>
  <c r="AB179" i="6"/>
  <c r="AA179" i="6"/>
  <c r="AL179" i="6" s="1"/>
  <c r="AB174" i="6"/>
  <c r="AA174" i="6"/>
  <c r="AL174" i="6" s="1"/>
  <c r="AG173" i="6"/>
  <c r="AA173" i="6"/>
  <c r="AB172" i="6"/>
  <c r="AA172" i="6"/>
  <c r="Y169" i="6"/>
  <c r="Y18" i="8" s="1"/>
  <c r="Z169" i="6"/>
  <c r="Z18" i="8" s="1"/>
  <c r="AB169" i="6"/>
  <c r="AB18" i="8" s="1"/>
  <c r="AD169" i="6"/>
  <c r="AE169" i="6"/>
  <c r="AE18" i="8" s="1"/>
  <c r="AF169" i="6"/>
  <c r="AG169" i="6"/>
  <c r="AG18" i="8" s="1"/>
  <c r="AH169" i="6"/>
  <c r="AH18" i="8"/>
  <c r="AA168" i="6"/>
  <c r="AL168" i="6" s="1"/>
  <c r="AA166" i="6"/>
  <c r="AL166" i="6" s="1"/>
  <c r="AA165" i="6"/>
  <c r="AL165" i="6" s="1"/>
  <c r="AL169" i="6" s="1"/>
  <c r="W162" i="6"/>
  <c r="W17" i="8"/>
  <c r="Y162" i="6"/>
  <c r="Y17" i="8" s="1"/>
  <c r="Z162" i="6"/>
  <c r="Z17" i="8" s="1"/>
  <c r="AB162" i="6"/>
  <c r="AB17" i="8" s="1"/>
  <c r="AD162" i="6"/>
  <c r="AD17" i="8" s="1"/>
  <c r="AE162" i="6"/>
  <c r="AE17" i="8" s="1"/>
  <c r="AF162" i="6"/>
  <c r="AG162" i="6"/>
  <c r="AG17" i="8"/>
  <c r="AH162" i="6"/>
  <c r="AH17" i="8" s="1"/>
  <c r="AO162" i="6"/>
  <c r="AP162" i="6"/>
  <c r="AQ162" i="6"/>
  <c r="AR162" i="6"/>
  <c r="AS162" i="6"/>
  <c r="AT162" i="6"/>
  <c r="AU162" i="6"/>
  <c r="AA161" i="6"/>
  <c r="AL161" i="6"/>
  <c r="W157" i="6"/>
  <c r="W16" i="8" s="1"/>
  <c r="Y157" i="6"/>
  <c r="Y16" i="8" s="1"/>
  <c r="Z157" i="6"/>
  <c r="Z16" i="8" s="1"/>
  <c r="AB157" i="6"/>
  <c r="AB16" i="8" s="1"/>
  <c r="AD157" i="6"/>
  <c r="AD16" i="8" s="1"/>
  <c r="AE157" i="6"/>
  <c r="AE16" i="8" s="1"/>
  <c r="AF157" i="6"/>
  <c r="AF16" i="8" s="1"/>
  <c r="AG157" i="6"/>
  <c r="AG16" i="8"/>
  <c r="AH157" i="6"/>
  <c r="AH16" i="8" s="1"/>
  <c r="W154" i="6"/>
  <c r="W15" i="8" s="1"/>
  <c r="X154" i="6"/>
  <c r="X15" i="8" s="1"/>
  <c r="Z154" i="6"/>
  <c r="Z15" i="8" s="1"/>
  <c r="AB154" i="6"/>
  <c r="AB15" i="8" s="1"/>
  <c r="AD154" i="6"/>
  <c r="AD15" i="8" s="1"/>
  <c r="AE154" i="6"/>
  <c r="AE15" i="8"/>
  <c r="AF154" i="6"/>
  <c r="AF15" i="8" s="1"/>
  <c r="AH154" i="6"/>
  <c r="AH15" i="8" s="1"/>
  <c r="AA152" i="6"/>
  <c r="AL152" i="6" s="1"/>
  <c r="AA151" i="6"/>
  <c r="AL151" i="6" s="1"/>
  <c r="AA150" i="6"/>
  <c r="AA149" i="6"/>
  <c r="AA148" i="6"/>
  <c r="AA147" i="6"/>
  <c r="Z145" i="6"/>
  <c r="Z14" i="8" s="1"/>
  <c r="AD145" i="6"/>
  <c r="AD14" i="8" s="1"/>
  <c r="AE145" i="6"/>
  <c r="AE14" i="8" s="1"/>
  <c r="AF145" i="6"/>
  <c r="AF14" i="8" s="1"/>
  <c r="AB142" i="6"/>
  <c r="AA142" i="6"/>
  <c r="Y141" i="6"/>
  <c r="AJ141" i="6" s="1"/>
  <c r="AA139" i="6"/>
  <c r="AB138" i="6"/>
  <c r="AA138" i="6"/>
  <c r="AA137" i="6"/>
  <c r="AA136" i="6"/>
  <c r="AA135" i="6"/>
  <c r="AL135" i="6" s="1"/>
  <c r="AA133" i="6"/>
  <c r="AB132" i="6"/>
  <c r="AA132" i="6"/>
  <c r="W127" i="6"/>
  <c r="W13" i="8" s="1"/>
  <c r="X127" i="6"/>
  <c r="X13" i="8"/>
  <c r="AD127" i="6"/>
  <c r="AD13" i="8" s="1"/>
  <c r="AE127" i="6"/>
  <c r="AE13" i="8" s="1"/>
  <c r="AF127" i="6"/>
  <c r="AF13" i="8" s="1"/>
  <c r="AB123" i="6"/>
  <c r="AM123" i="6" s="1"/>
  <c r="AN123" i="6" s="1"/>
  <c r="AB120" i="6"/>
  <c r="AM120" i="6" s="1"/>
  <c r="AB119" i="6"/>
  <c r="AA118" i="6"/>
  <c r="AA127" i="6" s="1"/>
  <c r="AA13" i="8" s="1"/>
  <c r="AA117" i="6"/>
  <c r="AL117" i="6"/>
  <c r="AB116" i="6"/>
  <c r="AM116" i="6" s="1"/>
  <c r="AB114" i="6"/>
  <c r="X112" i="6"/>
  <c r="X12" i="8" s="1"/>
  <c r="Y112" i="6"/>
  <c r="Y12" i="8" s="1"/>
  <c r="Z112" i="6"/>
  <c r="Z12" i="8" s="1"/>
  <c r="AD112" i="6"/>
  <c r="AD12" i="8" s="1"/>
  <c r="AF112" i="6"/>
  <c r="AF12" i="8" s="1"/>
  <c r="AA111" i="6"/>
  <c r="AL111" i="6" s="1"/>
  <c r="AA108" i="6"/>
  <c r="W102" i="6"/>
  <c r="W10" i="8" s="1"/>
  <c r="AD102" i="6"/>
  <c r="AD10" i="8" s="1"/>
  <c r="AF102" i="6"/>
  <c r="AF10" i="8"/>
  <c r="Y100" i="6"/>
  <c r="AJ100" i="6" s="1"/>
  <c r="AA98" i="6"/>
  <c r="AL98" i="6" s="1"/>
  <c r="AB94" i="6"/>
  <c r="AB91" i="6"/>
  <c r="AM91" i="6"/>
  <c r="AB90" i="6"/>
  <c r="Y88" i="6"/>
  <c r="AB87" i="6"/>
  <c r="X85" i="6"/>
  <c r="X9" i="8" s="1"/>
  <c r="AB85" i="6"/>
  <c r="AB9" i="8" s="1"/>
  <c r="AD85" i="6"/>
  <c r="AD9" i="8"/>
  <c r="AH85" i="6"/>
  <c r="AH9" i="8" s="1"/>
  <c r="AA70" i="6"/>
  <c r="AA69" i="6"/>
  <c r="AL69" i="6" s="1"/>
  <c r="W71" i="6"/>
  <c r="W8" i="8" s="1"/>
  <c r="X71" i="6"/>
  <c r="X8" i="8"/>
  <c r="Y71" i="6"/>
  <c r="Y8" i="8"/>
  <c r="Z71" i="6"/>
  <c r="Z8" i="8" s="1"/>
  <c r="AB71" i="6"/>
  <c r="AB8" i="8" s="1"/>
  <c r="AD71" i="6"/>
  <c r="AD8" i="8" s="1"/>
  <c r="AE71" i="6"/>
  <c r="AE8" i="8" s="1"/>
  <c r="AF71" i="6"/>
  <c r="AF8" i="8" s="1"/>
  <c r="AG71" i="6"/>
  <c r="AG8" i="8" s="1"/>
  <c r="AH71" i="6"/>
  <c r="AH8" i="8"/>
  <c r="AB67" i="6"/>
  <c r="AB7" i="8" s="1"/>
  <c r="Y61" i="6"/>
  <c r="AA57" i="6"/>
  <c r="AL57" i="6" s="1"/>
  <c r="AA52" i="6"/>
  <c r="Y38" i="6"/>
  <c r="AJ38" i="6" s="1"/>
  <c r="Y31" i="6"/>
  <c r="Y27" i="6"/>
  <c r="X28" i="6"/>
  <c r="X6" i="8" s="1"/>
  <c r="Z28" i="6"/>
  <c r="Z6" i="8" s="1"/>
  <c r="AA28" i="6"/>
  <c r="AA6" i="8"/>
  <c r="AB28" i="6"/>
  <c r="AB6" i="8" s="1"/>
  <c r="AD28" i="6"/>
  <c r="AD6" i="8" s="1"/>
  <c r="AF28" i="6"/>
  <c r="AF6" i="8" s="1"/>
  <c r="AG28" i="6"/>
  <c r="AG6" i="8" s="1"/>
  <c r="X22" i="6"/>
  <c r="X5" i="8" s="1"/>
  <c r="AA22" i="6"/>
  <c r="AA5" i="8"/>
  <c r="AD22" i="6"/>
  <c r="AD5" i="8"/>
  <c r="AB18" i="6"/>
  <c r="AB22" i="6" s="1"/>
  <c r="AB5" i="8" s="1"/>
  <c r="AD10" i="6"/>
  <c r="AE10" i="6"/>
  <c r="AE4" i="8"/>
  <c r="AF10" i="6"/>
  <c r="AF4" i="8" s="1"/>
  <c r="X10" i="6"/>
  <c r="X4" i="8" s="1"/>
  <c r="Y10" i="6"/>
  <c r="Y4" i="8" s="1"/>
  <c r="Z10" i="6"/>
  <c r="Z4" i="7" s="1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U5" i="7"/>
  <c r="T5" i="7"/>
  <c r="S5" i="7"/>
  <c r="R5" i="7"/>
  <c r="Q5" i="7"/>
  <c r="P5" i="7"/>
  <c r="O5" i="7"/>
  <c r="N5" i="7"/>
  <c r="M5" i="7"/>
  <c r="L5" i="7"/>
  <c r="K5" i="7"/>
  <c r="J5" i="7"/>
  <c r="I5" i="7"/>
  <c r="H5" i="7"/>
  <c r="G5" i="7"/>
  <c r="U4" i="7"/>
  <c r="T4" i="7"/>
  <c r="S4" i="7"/>
  <c r="R4" i="7"/>
  <c r="Q4" i="7"/>
  <c r="P4" i="7"/>
  <c r="O4" i="7"/>
  <c r="N4" i="7"/>
  <c r="M4" i="7"/>
  <c r="L4" i="7"/>
  <c r="K4" i="7"/>
  <c r="J4" i="7"/>
  <c r="I4" i="7"/>
  <c r="H4" i="7"/>
  <c r="G4" i="7"/>
  <c r="AZ526" i="6"/>
  <c r="AU526" i="6"/>
  <c r="AU528" i="6" s="1"/>
  <c r="AU12" i="7" s="1"/>
  <c r="AT526" i="6"/>
  <c r="AT528" i="6" s="1"/>
  <c r="AT12" i="7" s="1"/>
  <c r="AS526" i="6"/>
  <c r="AS528" i="6" s="1"/>
  <c r="AS12" i="7" s="1"/>
  <c r="AR526" i="6"/>
  <c r="AR528" i="6"/>
  <c r="AR12" i="7"/>
  <c r="AQ526" i="6"/>
  <c r="AQ528" i="6"/>
  <c r="AQ12" i="7" s="1"/>
  <c r="AP526" i="6"/>
  <c r="AP528" i="6" s="1"/>
  <c r="AP12" i="7" s="1"/>
  <c r="AO526" i="6"/>
  <c r="AO528" i="6" s="1"/>
  <c r="AO12" i="7" s="1"/>
  <c r="V526" i="6"/>
  <c r="T526" i="6"/>
  <c r="T528" i="6" s="1"/>
  <c r="S526" i="6"/>
  <c r="S528" i="6" s="1"/>
  <c r="O526" i="6"/>
  <c r="O528" i="6"/>
  <c r="M526" i="6"/>
  <c r="M528" i="6" s="1"/>
  <c r="I526" i="6"/>
  <c r="I528" i="6" s="1"/>
  <c r="G526" i="6"/>
  <c r="G528" i="6" s="1"/>
  <c r="W526" i="6"/>
  <c r="AV525" i="6"/>
  <c r="AW525" i="6" s="1"/>
  <c r="AC525" i="6"/>
  <c r="AY525" i="6" s="1"/>
  <c r="U525" i="6"/>
  <c r="Q525" i="6"/>
  <c r="P525" i="6"/>
  <c r="R525" i="6" s="1"/>
  <c r="H525" i="6"/>
  <c r="AV524" i="6"/>
  <c r="AW524" i="6" s="1"/>
  <c r="AC524" i="6"/>
  <c r="AY524" i="6"/>
  <c r="AH526" i="6"/>
  <c r="AH528" i="6" s="1"/>
  <c r="AH49" i="8" s="1"/>
  <c r="U524" i="6"/>
  <c r="Q524" i="6"/>
  <c r="P524" i="6"/>
  <c r="L524" i="6"/>
  <c r="H524" i="6"/>
  <c r="AV523" i="6"/>
  <c r="AW523" i="6" s="1"/>
  <c r="AC523" i="6"/>
  <c r="AY523" i="6" s="1"/>
  <c r="U523" i="6"/>
  <c r="R523" i="6"/>
  <c r="Q523" i="6"/>
  <c r="L523" i="6"/>
  <c r="L526" i="6" s="1"/>
  <c r="L528" i="6" s="1"/>
  <c r="K523" i="6"/>
  <c r="K526" i="6" s="1"/>
  <c r="K528" i="6" s="1"/>
  <c r="J523" i="6"/>
  <c r="H523" i="6"/>
  <c r="AV522" i="6"/>
  <c r="AC522" i="6"/>
  <c r="AY522" i="6" s="1"/>
  <c r="AE526" i="6"/>
  <c r="AE528" i="6" s="1"/>
  <c r="AE12" i="7" s="1"/>
  <c r="AE49" i="8"/>
  <c r="U522" i="6"/>
  <c r="R522" i="6"/>
  <c r="Q522" i="6"/>
  <c r="J522" i="6"/>
  <c r="H522" i="6"/>
  <c r="AV521" i="6"/>
  <c r="AC521" i="6"/>
  <c r="U521" i="6"/>
  <c r="Q521" i="6"/>
  <c r="Q526" i="6" s="1"/>
  <c r="Q528" i="6" s="1"/>
  <c r="P521" i="6"/>
  <c r="N521" i="6"/>
  <c r="N526" i="6" s="1"/>
  <c r="N528" i="6" s="1"/>
  <c r="E521" i="6"/>
  <c r="E522" i="6" s="1"/>
  <c r="E523" i="6"/>
  <c r="E524" i="6" s="1"/>
  <c r="E525" i="6" s="1"/>
  <c r="AY520" i="6"/>
  <c r="AW520" i="6"/>
  <c r="AY519" i="6"/>
  <c r="AW519" i="6"/>
  <c r="AV517" i="6"/>
  <c r="AU517" i="6"/>
  <c r="AT517" i="6"/>
  <c r="AS517" i="6"/>
  <c r="AR517" i="6"/>
  <c r="AQ517" i="6"/>
  <c r="AP517" i="6"/>
  <c r="AW517" i="6" s="1"/>
  <c r="AO517" i="6"/>
  <c r="V517" i="6"/>
  <c r="S517" i="6"/>
  <c r="O517" i="6"/>
  <c r="M517" i="6"/>
  <c r="K517" i="6"/>
  <c r="J517" i="6"/>
  <c r="I517" i="6"/>
  <c r="I518" i="6" s="1"/>
  <c r="G517" i="6"/>
  <c r="G518" i="6" s="1"/>
  <c r="AC516" i="6"/>
  <c r="X516" i="6"/>
  <c r="AC515" i="6"/>
  <c r="X515" i="6"/>
  <c r="AC514" i="6"/>
  <c r="X514" i="6"/>
  <c r="AI514" i="6" s="1"/>
  <c r="AC513" i="6"/>
  <c r="X513" i="6"/>
  <c r="AC512" i="6"/>
  <c r="X512" i="6"/>
  <c r="W511" i="6"/>
  <c r="AC511" i="6" s="1"/>
  <c r="AY511" i="6" s="1"/>
  <c r="AB511" i="6"/>
  <c r="AM511" i="6" s="1"/>
  <c r="R511" i="6"/>
  <c r="Q511" i="6"/>
  <c r="AC510" i="6"/>
  <c r="X510" i="6"/>
  <c r="AI510" i="6" s="1"/>
  <c r="AC509" i="6"/>
  <c r="X509" i="6"/>
  <c r="AI509" i="6" s="1"/>
  <c r="AC508" i="6"/>
  <c r="AY508" i="6" s="1"/>
  <c r="U508" i="6"/>
  <c r="R508" i="6"/>
  <c r="Q508" i="6"/>
  <c r="AC507" i="6"/>
  <c r="AG507" i="6" s="1"/>
  <c r="AL507" i="6" s="1"/>
  <c r="X507" i="6"/>
  <c r="AI507" i="6" s="1"/>
  <c r="AC506" i="6"/>
  <c r="AG506" i="6" s="1"/>
  <c r="AL506" i="6" s="1"/>
  <c r="Y506" i="6"/>
  <c r="AJ506" i="6" s="1"/>
  <c r="AC505" i="6"/>
  <c r="AY505" i="6" s="1"/>
  <c r="U505" i="6"/>
  <c r="R505" i="6"/>
  <c r="Q505" i="6"/>
  <c r="AC504" i="6"/>
  <c r="U504" i="6"/>
  <c r="Q504" i="6"/>
  <c r="N504" i="6"/>
  <c r="R504" i="6" s="1"/>
  <c r="AC503" i="6"/>
  <c r="AC502" i="6"/>
  <c r="AY502" i="6"/>
  <c r="X502" i="6"/>
  <c r="AI502" i="6" s="1"/>
  <c r="T502" i="6"/>
  <c r="Q502" i="6"/>
  <c r="P502" i="6"/>
  <c r="P517" i="6" s="1"/>
  <c r="N502" i="6"/>
  <c r="L502" i="6"/>
  <c r="L517" i="6" s="1"/>
  <c r="H502" i="6"/>
  <c r="H517" i="6"/>
  <c r="AC501" i="6"/>
  <c r="Z501" i="6"/>
  <c r="AK501" i="6" s="1"/>
  <c r="AC500" i="6"/>
  <c r="Z500" i="6"/>
  <c r="AC499" i="6"/>
  <c r="AY499" i="6"/>
  <c r="Z499" i="6"/>
  <c r="U499" i="6"/>
  <c r="R499" i="6"/>
  <c r="Q499" i="6"/>
  <c r="AC498" i="6"/>
  <c r="AY498" i="6" s="1"/>
  <c r="R498" i="6"/>
  <c r="Q498" i="6"/>
  <c r="W497" i="6"/>
  <c r="W517" i="6" s="1"/>
  <c r="W47" i="8" s="1"/>
  <c r="AC497" i="6"/>
  <c r="AY497" i="6" s="1"/>
  <c r="U497" i="6"/>
  <c r="R497" i="6"/>
  <c r="Q497" i="6"/>
  <c r="W496" i="6"/>
  <c r="AC495" i="6"/>
  <c r="AY495" i="6" s="1"/>
  <c r="X495" i="6"/>
  <c r="AI495" i="6"/>
  <c r="R495" i="6"/>
  <c r="Q495" i="6"/>
  <c r="AC494" i="6"/>
  <c r="AY494" i="6" s="1"/>
  <c r="U494" i="6"/>
  <c r="R494" i="6"/>
  <c r="Q494" i="6"/>
  <c r="AC493" i="6"/>
  <c r="AC492" i="6"/>
  <c r="AY492" i="6" s="1"/>
  <c r="X492" i="6"/>
  <c r="AI492" i="6" s="1"/>
  <c r="R492" i="6"/>
  <c r="Q492" i="6"/>
  <c r="AC491" i="6"/>
  <c r="AY491" i="6" s="1"/>
  <c r="X491" i="6"/>
  <c r="AI491" i="6" s="1"/>
  <c r="R491" i="6"/>
  <c r="Q491" i="6"/>
  <c r="AC490" i="6"/>
  <c r="AY490" i="6"/>
  <c r="R490" i="6"/>
  <c r="Q490" i="6"/>
  <c r="AC489" i="6"/>
  <c r="AY489" i="6" s="1"/>
  <c r="AC488" i="6"/>
  <c r="AY488" i="6" s="1"/>
  <c r="AC487" i="6"/>
  <c r="AY487" i="6"/>
  <c r="AC486" i="6"/>
  <c r="AH486" i="6"/>
  <c r="AM486" i="6" s="1"/>
  <c r="Z486" i="6"/>
  <c r="AK486" i="6" s="1"/>
  <c r="AC485" i="6"/>
  <c r="AY485" i="6" s="1"/>
  <c r="AC484" i="6"/>
  <c r="AY484" i="6" s="1"/>
  <c r="AC483" i="6"/>
  <c r="AY483" i="6" s="1"/>
  <c r="U483" i="6"/>
  <c r="R483" i="6"/>
  <c r="Q483" i="6"/>
  <c r="AC482" i="6"/>
  <c r="AY482" i="6" s="1"/>
  <c r="T482" i="6"/>
  <c r="R482" i="6"/>
  <c r="Q482" i="6"/>
  <c r="AC481" i="6"/>
  <c r="AY481" i="6" s="1"/>
  <c r="X481" i="6"/>
  <c r="Z481" i="6" s="1"/>
  <c r="AK481" i="6" s="1"/>
  <c r="T481" i="6"/>
  <c r="R481" i="6"/>
  <c r="Q481" i="6"/>
  <c r="AC480" i="6"/>
  <c r="AY480" i="6" s="1"/>
  <c r="X480" i="6"/>
  <c r="T480" i="6"/>
  <c r="T517" i="6" s="1"/>
  <c r="R480" i="6"/>
  <c r="Q480" i="6"/>
  <c r="AC479" i="6"/>
  <c r="AC478" i="6"/>
  <c r="R478" i="6"/>
  <c r="Q478" i="6"/>
  <c r="AC477" i="6"/>
  <c r="AH477" i="6" s="1"/>
  <c r="Z477" i="6"/>
  <c r="AK477" i="6"/>
  <c r="AN477" i="6" s="1"/>
  <c r="E477" i="6"/>
  <c r="E478" i="6" s="1"/>
  <c r="E479" i="6" s="1"/>
  <c r="E480" i="6" s="1"/>
  <c r="E481" i="6" s="1"/>
  <c r="E482" i="6" s="1"/>
  <c r="E483" i="6" s="1"/>
  <c r="E484" i="6" s="1"/>
  <c r="E485" i="6" s="1"/>
  <c r="E486" i="6" s="1"/>
  <c r="E487" i="6" s="1"/>
  <c r="E488" i="6" s="1"/>
  <c r="E489" i="6" s="1"/>
  <c r="E490" i="6" s="1"/>
  <c r="E491" i="6" s="1"/>
  <c r="E492" i="6" s="1"/>
  <c r="E493" i="6" s="1"/>
  <c r="E494" i="6" s="1"/>
  <c r="E495" i="6" s="1"/>
  <c r="E496" i="6" s="1"/>
  <c r="E497" i="6" s="1"/>
  <c r="E498" i="6" s="1"/>
  <c r="E499" i="6" s="1"/>
  <c r="E500" i="6" s="1"/>
  <c r="E501" i="6" s="1"/>
  <c r="E502" i="6" s="1"/>
  <c r="E503" i="6" s="1"/>
  <c r="E504" i="6" s="1"/>
  <c r="E505" i="6" s="1"/>
  <c r="E506" i="6" s="1"/>
  <c r="E507" i="6" s="1"/>
  <c r="E508" i="6" s="1"/>
  <c r="E509" i="6" s="1"/>
  <c r="E510" i="6" s="1"/>
  <c r="E511" i="6" s="1"/>
  <c r="E512" i="6" s="1"/>
  <c r="E513" i="6" s="1"/>
  <c r="E514" i="6" s="1"/>
  <c r="E515" i="6" s="1"/>
  <c r="E516" i="6" s="1"/>
  <c r="AY476" i="6"/>
  <c r="AW476" i="6"/>
  <c r="AV475" i="6"/>
  <c r="AU475" i="6"/>
  <c r="AT475" i="6"/>
  <c r="AS475" i="6"/>
  <c r="AR475" i="6"/>
  <c r="AQ475" i="6"/>
  <c r="AP475" i="6"/>
  <c r="AO475" i="6"/>
  <c r="AH475" i="6"/>
  <c r="AH46" i="8" s="1"/>
  <c r="AE475" i="6"/>
  <c r="AE46" i="8" s="1"/>
  <c r="Z475" i="6"/>
  <c r="Z46" i="8" s="1"/>
  <c r="Y475" i="6"/>
  <c r="Y46" i="8"/>
  <c r="W475" i="6"/>
  <c r="W46" i="8" s="1"/>
  <c r="V475" i="6"/>
  <c r="U475" i="6"/>
  <c r="S475" i="6"/>
  <c r="P475" i="6"/>
  <c r="O475" i="6"/>
  <c r="N475" i="6"/>
  <c r="M475" i="6"/>
  <c r="L475" i="6"/>
  <c r="K475" i="6"/>
  <c r="J475" i="6"/>
  <c r="I475" i="6"/>
  <c r="H475" i="6"/>
  <c r="G475" i="6"/>
  <c r="AC474" i="6"/>
  <c r="AD474" i="6" s="1"/>
  <c r="AD475" i="6"/>
  <c r="AD46" i="8" s="1"/>
  <c r="X474" i="6"/>
  <c r="AC473" i="6"/>
  <c r="AY473" i="6" s="1"/>
  <c r="X473" i="6"/>
  <c r="AI473" i="6" s="1"/>
  <c r="R473" i="6"/>
  <c r="Q473" i="6"/>
  <c r="AC472" i="6"/>
  <c r="AY472" i="6" s="1"/>
  <c r="X472" i="6"/>
  <c r="AI472" i="6" s="1"/>
  <c r="T472" i="6"/>
  <c r="T475" i="6" s="1"/>
  <c r="R472" i="6"/>
  <c r="Q472" i="6"/>
  <c r="AC471" i="6"/>
  <c r="AY471" i="6" s="1"/>
  <c r="X471" i="6"/>
  <c r="AI471" i="6"/>
  <c r="T471" i="6"/>
  <c r="R471" i="6"/>
  <c r="Q471" i="6"/>
  <c r="Q475" i="6" s="1"/>
  <c r="E471" i="6"/>
  <c r="E472" i="6" s="1"/>
  <c r="E473" i="6" s="1"/>
  <c r="E474" i="6" s="1"/>
  <c r="AY470" i="6"/>
  <c r="AW470" i="6"/>
  <c r="AU469" i="6"/>
  <c r="AT469" i="6"/>
  <c r="AS469" i="6"/>
  <c r="AR469" i="6"/>
  <c r="AQ469" i="6"/>
  <c r="AQ518" i="6" s="1"/>
  <c r="AQ11" i="7" s="1"/>
  <c r="AP469" i="6"/>
  <c r="AO469" i="6"/>
  <c r="U469" i="6"/>
  <c r="T469" i="6"/>
  <c r="S469" i="6"/>
  <c r="O469" i="6"/>
  <c r="M469" i="6"/>
  <c r="M518" i="6"/>
  <c r="K469" i="6"/>
  <c r="J469" i="6"/>
  <c r="I469" i="6"/>
  <c r="G469" i="6"/>
  <c r="W468" i="6"/>
  <c r="X468" i="6" s="1"/>
  <c r="AI468" i="6" s="1"/>
  <c r="R468" i="6"/>
  <c r="Q468" i="6"/>
  <c r="AV467" i="6"/>
  <c r="W467" i="6"/>
  <c r="X467" i="6" s="1"/>
  <c r="AI467" i="6" s="1"/>
  <c r="Q467" i="6"/>
  <c r="P467" i="6"/>
  <c r="N467" i="6"/>
  <c r="L467" i="6"/>
  <c r="AV466" i="6"/>
  <c r="AW466" i="6"/>
  <c r="V466" i="6"/>
  <c r="V469" i="6" s="1"/>
  <c r="V518" i="6" s="1"/>
  <c r="V11" i="7" s="1"/>
  <c r="Q466" i="6"/>
  <c r="P466" i="6"/>
  <c r="N466" i="6"/>
  <c r="L466" i="6"/>
  <c r="AV465" i="6"/>
  <c r="AW465" i="6" s="1"/>
  <c r="W465" i="6"/>
  <c r="AC465" i="6"/>
  <c r="AY465" i="6" s="1"/>
  <c r="R465" i="6"/>
  <c r="Q465" i="6"/>
  <c r="AV464" i="6"/>
  <c r="AW464" i="6" s="1"/>
  <c r="W464" i="6"/>
  <c r="R464" i="6"/>
  <c r="Q464" i="6"/>
  <c r="H464" i="6"/>
  <c r="AV463" i="6"/>
  <c r="AW463" i="6"/>
  <c r="W463" i="6"/>
  <c r="X463" i="6" s="1"/>
  <c r="AI463" i="6" s="1"/>
  <c r="R463" i="6"/>
  <c r="Q463" i="6"/>
  <c r="AV462" i="6"/>
  <c r="AW462" i="6" s="1"/>
  <c r="W462" i="6"/>
  <c r="R462" i="6"/>
  <c r="Q462" i="6"/>
  <c r="Q469" i="6" s="1"/>
  <c r="H462" i="6"/>
  <c r="H469" i="6" s="1"/>
  <c r="H518" i="6" s="1"/>
  <c r="AV461" i="6"/>
  <c r="AW461" i="6" s="1"/>
  <c r="W461" i="6"/>
  <c r="Q461" i="6"/>
  <c r="N461" i="6"/>
  <c r="R461" i="6" s="1"/>
  <c r="L461" i="6"/>
  <c r="H461" i="6"/>
  <c r="AV460" i="6"/>
  <c r="AW460" i="6" s="1"/>
  <c r="W460" i="6"/>
  <c r="X460" i="6" s="1"/>
  <c r="AI460" i="6" s="1"/>
  <c r="R460" i="6"/>
  <c r="Q460" i="6"/>
  <c r="L460" i="6"/>
  <c r="H460" i="6"/>
  <c r="AV459" i="6"/>
  <c r="AW459" i="6" s="1"/>
  <c r="W459" i="6"/>
  <c r="AC459" i="6" s="1"/>
  <c r="R459" i="6"/>
  <c r="Q459" i="6"/>
  <c r="H459" i="6"/>
  <c r="AV458" i="6"/>
  <c r="AW458" i="6" s="1"/>
  <c r="W458" i="6"/>
  <c r="X458" i="6" s="1"/>
  <c r="Q458" i="6"/>
  <c r="N458" i="6"/>
  <c r="R458" i="6" s="1"/>
  <c r="AV457" i="6"/>
  <c r="AW457" i="6" s="1"/>
  <c r="W457" i="6"/>
  <c r="Q457" i="6"/>
  <c r="P457" i="6"/>
  <c r="N457" i="6"/>
  <c r="L457" i="6"/>
  <c r="AV456" i="6"/>
  <c r="AW456" i="6" s="1"/>
  <c r="W456" i="6"/>
  <c r="Q456" i="6"/>
  <c r="N456" i="6"/>
  <c r="L456" i="6"/>
  <c r="AV455" i="6"/>
  <c r="AW455" i="6" s="1"/>
  <c r="AC455" i="6"/>
  <c r="X455" i="6"/>
  <c r="Y455" i="6" s="1"/>
  <c r="Q455" i="6"/>
  <c r="P455" i="6"/>
  <c r="N455" i="6"/>
  <c r="L455" i="6"/>
  <c r="H455" i="6"/>
  <c r="AV454" i="6"/>
  <c r="AW454" i="6"/>
  <c r="W454" i="6"/>
  <c r="AC454" i="6" s="1"/>
  <c r="Q454" i="6"/>
  <c r="P454" i="6"/>
  <c r="N454" i="6"/>
  <c r="L454" i="6"/>
  <c r="L469" i="6" s="1"/>
  <c r="E454" i="6"/>
  <c r="E455" i="6" s="1"/>
  <c r="E456" i="6" s="1"/>
  <c r="E457" i="6" s="1"/>
  <c r="E458" i="6" s="1"/>
  <c r="E459" i="6" s="1"/>
  <c r="E460" i="6" s="1"/>
  <c r="E461" i="6" s="1"/>
  <c r="E462" i="6" s="1"/>
  <c r="E463" i="6" s="1"/>
  <c r="E464" i="6" s="1"/>
  <c r="E465" i="6" s="1"/>
  <c r="E466" i="6" s="1"/>
  <c r="E467" i="6" s="1"/>
  <c r="E468" i="6" s="1"/>
  <c r="AY453" i="6"/>
  <c r="AW453" i="6"/>
  <c r="AY452" i="6"/>
  <c r="AW452" i="6"/>
  <c r="AU451" i="6"/>
  <c r="AU10" i="7" s="1"/>
  <c r="AT451" i="6"/>
  <c r="AT10" i="7" s="1"/>
  <c r="AS451" i="6"/>
  <c r="AS10" i="7" s="1"/>
  <c r="AR451" i="6"/>
  <c r="AR10" i="7" s="1"/>
  <c r="AQ451" i="6"/>
  <c r="AQ10" i="7" s="1"/>
  <c r="AP451" i="6"/>
  <c r="AP10" i="7" s="1"/>
  <c r="AO451" i="6"/>
  <c r="AO10" i="7" s="1"/>
  <c r="S451" i="6"/>
  <c r="P451" i="6"/>
  <c r="O451" i="6"/>
  <c r="M451" i="6"/>
  <c r="K451" i="6"/>
  <c r="I451" i="6"/>
  <c r="G451" i="6"/>
  <c r="W450" i="6"/>
  <c r="AC449" i="6"/>
  <c r="AG449" i="6" s="1"/>
  <c r="AL449" i="6" s="1"/>
  <c r="V448" i="6"/>
  <c r="AC448" i="6" s="1"/>
  <c r="U448" i="6"/>
  <c r="R448" i="6"/>
  <c r="Q448" i="6"/>
  <c r="AC447" i="6"/>
  <c r="R447" i="6"/>
  <c r="Q447" i="6"/>
  <c r="AC446" i="6"/>
  <c r="AG446" i="6" s="1"/>
  <c r="AL446" i="6" s="1"/>
  <c r="AV445" i="6"/>
  <c r="AC445" i="6"/>
  <c r="Y445" i="6"/>
  <c r="AJ445" i="6" s="1"/>
  <c r="U445" i="6"/>
  <c r="R445" i="6"/>
  <c r="Q445" i="6"/>
  <c r="L445" i="6"/>
  <c r="AV444" i="6"/>
  <c r="AC444" i="6"/>
  <c r="AY444" i="6" s="1"/>
  <c r="U444" i="6"/>
  <c r="R444" i="6"/>
  <c r="Q444" i="6"/>
  <c r="AV443" i="6"/>
  <c r="AW443" i="6" s="1"/>
  <c r="AC443" i="6"/>
  <c r="U443" i="6"/>
  <c r="R443" i="6"/>
  <c r="Q443" i="6"/>
  <c r="AV442" i="6"/>
  <c r="AW442" i="6" s="1"/>
  <c r="AC442" i="6"/>
  <c r="AY442" i="6" s="1"/>
  <c r="U442" i="6"/>
  <c r="R442" i="6"/>
  <c r="Q442" i="6"/>
  <c r="J442" i="6"/>
  <c r="J451" i="6" s="1"/>
  <c r="H442" i="6"/>
  <c r="AV441" i="6"/>
  <c r="AW441" i="6" s="1"/>
  <c r="AC441" i="6"/>
  <c r="AY441" i="6" s="1"/>
  <c r="X441" i="6"/>
  <c r="T441" i="6"/>
  <c r="T451" i="6" s="1"/>
  <c r="Q441" i="6"/>
  <c r="N441" i="6"/>
  <c r="L441" i="6"/>
  <c r="L451" i="6" s="1"/>
  <c r="H441" i="6"/>
  <c r="H451" i="6" s="1"/>
  <c r="AV440" i="6"/>
  <c r="AW440" i="6" s="1"/>
  <c r="AC440" i="6"/>
  <c r="AG440" i="6" s="1"/>
  <c r="U440" i="6"/>
  <c r="U451" i="6" s="1"/>
  <c r="R440" i="6"/>
  <c r="Q440" i="6"/>
  <c r="E440" i="6"/>
  <c r="E441" i="6" s="1"/>
  <c r="E442" i="6" s="1"/>
  <c r="E443" i="6" s="1"/>
  <c r="E444" i="6" s="1"/>
  <c r="E445" i="6" s="1"/>
  <c r="E446" i="6" s="1"/>
  <c r="E447" i="6" s="1"/>
  <c r="E448" i="6" s="1"/>
  <c r="E449" i="6" s="1"/>
  <c r="E450" i="6" s="1"/>
  <c r="AY439" i="6"/>
  <c r="AW439" i="6"/>
  <c r="AU438" i="6"/>
  <c r="AU9" i="7" s="1"/>
  <c r="AT438" i="6"/>
  <c r="AT9" i="7" s="1"/>
  <c r="AS438" i="6"/>
  <c r="AS9" i="7" s="1"/>
  <c r="AR438" i="6"/>
  <c r="AR9" i="7" s="1"/>
  <c r="AQ438" i="6"/>
  <c r="AQ9" i="7" s="1"/>
  <c r="AP438" i="6"/>
  <c r="AP9" i="7" s="1"/>
  <c r="AO438" i="6"/>
  <c r="AO9" i="7"/>
  <c r="V438" i="6"/>
  <c r="T438" i="6"/>
  <c r="S438" i="6"/>
  <c r="O438" i="6"/>
  <c r="N438" i="6"/>
  <c r="M438" i="6"/>
  <c r="J438" i="6"/>
  <c r="I438" i="6"/>
  <c r="G438" i="6"/>
  <c r="AV437" i="6"/>
  <c r="AC437" i="6"/>
  <c r="AG437" i="6" s="1"/>
  <c r="U437" i="6"/>
  <c r="U438" i="6" s="1"/>
  <c r="Q437" i="6"/>
  <c r="Q438" i="6" s="1"/>
  <c r="P437" i="6"/>
  <c r="R437" i="6" s="1"/>
  <c r="K437" i="6"/>
  <c r="H437" i="6"/>
  <c r="H438" i="6" s="1"/>
  <c r="AV436" i="6"/>
  <c r="AC436" i="6"/>
  <c r="Q436" i="6"/>
  <c r="P436" i="6"/>
  <c r="L436" i="6"/>
  <c r="L438" i="6" s="1"/>
  <c r="H436" i="6"/>
  <c r="AV435" i="6"/>
  <c r="AW435" i="6" s="1"/>
  <c r="AC435" i="6"/>
  <c r="Q435" i="6"/>
  <c r="P435" i="6"/>
  <c r="K435" i="6"/>
  <c r="H435" i="6"/>
  <c r="E435" i="6"/>
  <c r="E436" i="6" s="1"/>
  <c r="E437" i="6" s="1"/>
  <c r="AY434" i="6"/>
  <c r="AW434" i="6"/>
  <c r="AU432" i="6"/>
  <c r="AT432" i="6"/>
  <c r="AS432" i="6"/>
  <c r="AR432" i="6"/>
  <c r="AQ432" i="6"/>
  <c r="AP432" i="6"/>
  <c r="AO432" i="6"/>
  <c r="V432" i="6"/>
  <c r="V433" i="6" s="1"/>
  <c r="V8" i="7" s="1"/>
  <c r="T432" i="6"/>
  <c r="S432" i="6"/>
  <c r="P432" i="6"/>
  <c r="O432" i="6"/>
  <c r="M432" i="6"/>
  <c r="K432" i="6"/>
  <c r="J432" i="6"/>
  <c r="I432" i="6"/>
  <c r="H432" i="6"/>
  <c r="G432" i="6"/>
  <c r="AV431" i="6"/>
  <c r="AC431" i="6"/>
  <c r="AG431" i="6"/>
  <c r="AL431" i="6" s="1"/>
  <c r="Q431" i="6"/>
  <c r="N431" i="6"/>
  <c r="R431" i="6" s="1"/>
  <c r="L431" i="6"/>
  <c r="L432" i="6" s="1"/>
  <c r="AC430" i="6"/>
  <c r="Y430" i="6"/>
  <c r="Y432" i="6" s="1"/>
  <c r="Y41" i="8" s="1"/>
  <c r="AV429" i="6"/>
  <c r="AW429" i="6" s="1"/>
  <c r="AC429" i="6"/>
  <c r="AY429" i="6" s="1"/>
  <c r="AE432" i="6"/>
  <c r="U429" i="6"/>
  <c r="U432" i="6" s="1"/>
  <c r="R429" i="6"/>
  <c r="Q429" i="6"/>
  <c r="E429" i="6"/>
  <c r="E430" i="6" s="1"/>
  <c r="E431" i="6" s="1"/>
  <c r="AY428" i="6"/>
  <c r="AW428" i="6"/>
  <c r="AU427" i="6"/>
  <c r="AT427" i="6"/>
  <c r="AS427" i="6"/>
  <c r="AR427" i="6"/>
  <c r="AQ427" i="6"/>
  <c r="AP427" i="6"/>
  <c r="AO427" i="6"/>
  <c r="T427" i="6"/>
  <c r="S427" i="6"/>
  <c r="P427" i="6"/>
  <c r="O427" i="6"/>
  <c r="M427" i="6"/>
  <c r="I427" i="6"/>
  <c r="G427" i="6"/>
  <c r="AC426" i="6"/>
  <c r="Z426" i="6"/>
  <c r="AK426" i="6" s="1"/>
  <c r="U426" i="6"/>
  <c r="R426" i="6"/>
  <c r="Q426" i="6"/>
  <c r="AV425" i="6"/>
  <c r="AC425" i="6"/>
  <c r="AY425" i="6" s="1"/>
  <c r="Y425" i="6"/>
  <c r="AJ425" i="6" s="1"/>
  <c r="U425" i="6"/>
  <c r="R425" i="6"/>
  <c r="Q425" i="6"/>
  <c r="H425" i="6"/>
  <c r="AV424" i="6"/>
  <c r="AW424" i="6" s="1"/>
  <c r="AC424" i="6"/>
  <c r="AY424" i="6" s="1"/>
  <c r="R424" i="6"/>
  <c r="Q424" i="6"/>
  <c r="AV423" i="6"/>
  <c r="AW423" i="6" s="1"/>
  <c r="AC423" i="6"/>
  <c r="R423" i="6"/>
  <c r="Q423" i="6"/>
  <c r="L423" i="6"/>
  <c r="AC422" i="6"/>
  <c r="R422" i="6"/>
  <c r="Q422" i="6"/>
  <c r="Z421" i="6"/>
  <c r="AK421" i="6" s="1"/>
  <c r="V421" i="6"/>
  <c r="R421" i="6"/>
  <c r="Q421" i="6"/>
  <c r="AV420" i="6"/>
  <c r="AW420" i="6" s="1"/>
  <c r="V420" i="6"/>
  <c r="AC420" i="6" s="1"/>
  <c r="U420" i="6"/>
  <c r="R420" i="6"/>
  <c r="Q420" i="6"/>
  <c r="J420" i="6"/>
  <c r="H420" i="6"/>
  <c r="V419" i="6"/>
  <c r="AC419" i="6" s="1"/>
  <c r="AG419" i="6" s="1"/>
  <c r="AL419" i="6" s="1"/>
  <c r="U419" i="6"/>
  <c r="R419" i="6"/>
  <c r="Q419" i="6"/>
  <c r="AC418" i="6"/>
  <c r="AG418" i="6" s="1"/>
  <c r="AL418" i="6" s="1"/>
  <c r="Y418" i="6"/>
  <c r="AJ418" i="6" s="1"/>
  <c r="R418" i="6"/>
  <c r="Q418" i="6"/>
  <c r="AV417" i="6"/>
  <c r="AW417" i="6" s="1"/>
  <c r="AC417" i="6"/>
  <c r="R417" i="6"/>
  <c r="Q417" i="6"/>
  <c r="K417" i="6"/>
  <c r="K427" i="6" s="1"/>
  <c r="J417" i="6"/>
  <c r="J427" i="6" s="1"/>
  <c r="AV416" i="6"/>
  <c r="AW416" i="6" s="1"/>
  <c r="AC416" i="6"/>
  <c r="AY416" i="6" s="1"/>
  <c r="U416" i="6"/>
  <c r="Q416" i="6"/>
  <c r="N416" i="6"/>
  <c r="L416" i="6"/>
  <c r="L427" i="6" s="1"/>
  <c r="E416" i="6"/>
  <c r="E417" i="6" s="1"/>
  <c r="E418" i="6" s="1"/>
  <c r="E419" i="6" s="1"/>
  <c r="E420" i="6" s="1"/>
  <c r="E421" i="6" s="1"/>
  <c r="E422" i="6" s="1"/>
  <c r="E423" i="6" s="1"/>
  <c r="E424" i="6" s="1"/>
  <c r="E425" i="6" s="1"/>
  <c r="E426" i="6" s="1"/>
  <c r="AY415" i="6"/>
  <c r="AW415" i="6"/>
  <c r="AU414" i="6"/>
  <c r="AT414" i="6"/>
  <c r="AS414" i="6"/>
  <c r="AR414" i="6"/>
  <c r="AQ414" i="6"/>
  <c r="AP414" i="6"/>
  <c r="AO414" i="6"/>
  <c r="V414" i="6"/>
  <c r="T414" i="6"/>
  <c r="S414" i="6"/>
  <c r="P414" i="6"/>
  <c r="O414" i="6"/>
  <c r="N414" i="6"/>
  <c r="M414" i="6"/>
  <c r="I414" i="6"/>
  <c r="G414" i="6"/>
  <c r="AC413" i="6"/>
  <c r="Y413" i="6"/>
  <c r="U413" i="6"/>
  <c r="R413" i="6"/>
  <c r="Q413" i="6"/>
  <c r="AV412" i="6"/>
  <c r="AW412" i="6" s="1"/>
  <c r="AC412" i="6"/>
  <c r="AY412" i="6" s="1"/>
  <c r="Z412" i="6"/>
  <c r="U412" i="6"/>
  <c r="R412" i="6"/>
  <c r="Q412" i="6"/>
  <c r="L412" i="6"/>
  <c r="AV411" i="6"/>
  <c r="AW411" i="6" s="1"/>
  <c r="AC411" i="6"/>
  <c r="AY411" i="6" s="1"/>
  <c r="Z411" i="6"/>
  <c r="U411" i="6"/>
  <c r="R411" i="6"/>
  <c r="Q411" i="6"/>
  <c r="AV410" i="6"/>
  <c r="AC410" i="6"/>
  <c r="AY410" i="6" s="1"/>
  <c r="U410" i="6"/>
  <c r="U414" i="6" s="1"/>
  <c r="R410" i="6"/>
  <c r="Q410" i="6"/>
  <c r="AV409" i="6"/>
  <c r="AW409" i="6" s="1"/>
  <c r="AC409" i="6"/>
  <c r="Z409" i="6"/>
  <c r="Z414" i="6" s="1"/>
  <c r="Z39" i="8" s="1"/>
  <c r="R409" i="6"/>
  <c r="Q409" i="6"/>
  <c r="AV408" i="6"/>
  <c r="AW408" i="6" s="1"/>
  <c r="AC408" i="6"/>
  <c r="AY408" i="6" s="1"/>
  <c r="U408" i="6"/>
  <c r="R408" i="6"/>
  <c r="Q408" i="6"/>
  <c r="L408" i="6"/>
  <c r="J408" i="6"/>
  <c r="H408" i="6"/>
  <c r="H414" i="6" s="1"/>
  <c r="AV407" i="6"/>
  <c r="AW407" i="6" s="1"/>
  <c r="AC407" i="6"/>
  <c r="AY407" i="6" s="1"/>
  <c r="U407" i="6"/>
  <c r="R407" i="6"/>
  <c r="Q407" i="6"/>
  <c r="L407" i="6"/>
  <c r="K407" i="6"/>
  <c r="K414" i="6" s="1"/>
  <c r="J407" i="6"/>
  <c r="J414" i="6" s="1"/>
  <c r="E407" i="6"/>
  <c r="E408" i="6" s="1"/>
  <c r="E409" i="6" s="1"/>
  <c r="E410" i="6" s="1"/>
  <c r="E411" i="6" s="1"/>
  <c r="E412" i="6" s="1"/>
  <c r="E413" i="6" s="1"/>
  <c r="AY406" i="6"/>
  <c r="AW406" i="6"/>
  <c r="AY405" i="6"/>
  <c r="AW405" i="6"/>
  <c r="AX403" i="6"/>
  <c r="AU403" i="6"/>
  <c r="AT403" i="6"/>
  <c r="AS403" i="6"/>
  <c r="AR403" i="6"/>
  <c r="AQ403" i="6"/>
  <c r="AP403" i="6"/>
  <c r="AO403" i="6"/>
  <c r="V403" i="6"/>
  <c r="T403" i="6"/>
  <c r="S403" i="6"/>
  <c r="P403" i="6"/>
  <c r="O403" i="6"/>
  <c r="N403" i="6"/>
  <c r="M403" i="6"/>
  <c r="L403" i="6"/>
  <c r="J403" i="6"/>
  <c r="I403" i="6"/>
  <c r="G403" i="6"/>
  <c r="AC402" i="6"/>
  <c r="AG402" i="6" s="1"/>
  <c r="AL402" i="6" s="1"/>
  <c r="AC401" i="6"/>
  <c r="Y401" i="6"/>
  <c r="AJ401" i="6" s="1"/>
  <c r="AJ403" i="6" s="1"/>
  <c r="R401" i="6"/>
  <c r="Q401" i="6"/>
  <c r="AC400" i="6"/>
  <c r="Y400" i="6"/>
  <c r="R400" i="6"/>
  <c r="Q400" i="6"/>
  <c r="AV399" i="6"/>
  <c r="AC399" i="6"/>
  <c r="U399" i="6"/>
  <c r="U403" i="6" s="1"/>
  <c r="R399" i="6"/>
  <c r="Q399" i="6"/>
  <c r="AV398" i="6"/>
  <c r="AC398" i="6"/>
  <c r="AY398" i="6" s="1"/>
  <c r="U398" i="6"/>
  <c r="R398" i="6"/>
  <c r="Q398" i="6"/>
  <c r="K398" i="6"/>
  <c r="K403" i="6" s="1"/>
  <c r="AV397" i="6"/>
  <c r="AC397" i="6"/>
  <c r="U397" i="6"/>
  <c r="R397" i="6"/>
  <c r="Q397" i="6"/>
  <c r="H397" i="6"/>
  <c r="H403" i="6" s="1"/>
  <c r="AY396" i="6"/>
  <c r="AW396" i="6"/>
  <c r="AU395" i="6"/>
  <c r="AT395" i="6"/>
  <c r="AS395" i="6"/>
  <c r="AR395" i="6"/>
  <c r="AQ395" i="6"/>
  <c r="AP395" i="6"/>
  <c r="AO395" i="6"/>
  <c r="V395" i="6"/>
  <c r="S395" i="6"/>
  <c r="O395" i="6"/>
  <c r="M395" i="6"/>
  <c r="L395" i="6"/>
  <c r="K395" i="6"/>
  <c r="J395" i="6"/>
  <c r="I395" i="6"/>
  <c r="H395" i="6"/>
  <c r="G395" i="6"/>
  <c r="W394" i="6"/>
  <c r="AC393" i="6"/>
  <c r="X393" i="6"/>
  <c r="Y393" i="6" s="1"/>
  <c r="AJ393" i="6" s="1"/>
  <c r="R393" i="6"/>
  <c r="Q393" i="6"/>
  <c r="R392" i="6"/>
  <c r="Q392" i="6"/>
  <c r="AC391" i="6"/>
  <c r="Z391" i="6"/>
  <c r="T391" i="6"/>
  <c r="U391" i="6" s="1"/>
  <c r="R391" i="6"/>
  <c r="Q391" i="6"/>
  <c r="AC390" i="6"/>
  <c r="X390" i="6"/>
  <c r="Y390" i="6" s="1"/>
  <c r="AJ390" i="6" s="1"/>
  <c r="AC389" i="6"/>
  <c r="X389" i="6"/>
  <c r="Y389" i="6"/>
  <c r="AJ389" i="6" s="1"/>
  <c r="AC388" i="6"/>
  <c r="X388" i="6"/>
  <c r="Y388" i="6" s="1"/>
  <c r="AJ388" i="6" s="1"/>
  <c r="AC387" i="6"/>
  <c r="X387" i="6"/>
  <c r="Y387" i="6" s="1"/>
  <c r="AJ387" i="6" s="1"/>
  <c r="AC386" i="6"/>
  <c r="X386" i="6"/>
  <c r="Y386" i="6" s="1"/>
  <c r="AJ386" i="6" s="1"/>
  <c r="T386" i="6"/>
  <c r="U386" i="6" s="1"/>
  <c r="Q386" i="6"/>
  <c r="P386" i="6"/>
  <c r="N386" i="6"/>
  <c r="R386" i="6" s="1"/>
  <c r="AV385" i="6"/>
  <c r="AW385" i="6" s="1"/>
  <c r="AC385" i="6"/>
  <c r="AH385" i="6" s="1"/>
  <c r="AM385" i="6" s="1"/>
  <c r="X385" i="6"/>
  <c r="Y385" i="6" s="1"/>
  <c r="AJ385" i="6" s="1"/>
  <c r="T385" i="6"/>
  <c r="Q385" i="6"/>
  <c r="P385" i="6"/>
  <c r="R385" i="6"/>
  <c r="AV384" i="6"/>
  <c r="AW384" i="6" s="1"/>
  <c r="AC384" i="6"/>
  <c r="X384" i="6"/>
  <c r="Y384" i="6" s="1"/>
  <c r="AJ384" i="6" s="1"/>
  <c r="T384" i="6"/>
  <c r="R384" i="6"/>
  <c r="Q384" i="6"/>
  <c r="AV383" i="6"/>
  <c r="W383" i="6"/>
  <c r="X383" i="6" s="1"/>
  <c r="AI383" i="6" s="1"/>
  <c r="T383" i="6"/>
  <c r="U383" i="6" s="1"/>
  <c r="Q383" i="6"/>
  <c r="P383" i="6"/>
  <c r="E383" i="6"/>
  <c r="E384" i="6" s="1"/>
  <c r="E385" i="6" s="1"/>
  <c r="E386" i="6" s="1"/>
  <c r="E387" i="6" s="1"/>
  <c r="E388" i="6" s="1"/>
  <c r="E389" i="6" s="1"/>
  <c r="E390" i="6" s="1"/>
  <c r="E391" i="6" s="1"/>
  <c r="E392" i="6" s="1"/>
  <c r="E393" i="6" s="1"/>
  <c r="E394" i="6" s="1"/>
  <c r="AY382" i="6"/>
  <c r="AW382" i="6"/>
  <c r="AU381" i="6"/>
  <c r="AT381" i="6"/>
  <c r="AS381" i="6"/>
  <c r="AR381" i="6"/>
  <c r="AQ381" i="6"/>
  <c r="AP381" i="6"/>
  <c r="AO381" i="6"/>
  <c r="V381" i="6"/>
  <c r="T381" i="6"/>
  <c r="S381" i="6"/>
  <c r="P381" i="6"/>
  <c r="O381" i="6"/>
  <c r="N381" i="6"/>
  <c r="M381" i="6"/>
  <c r="L381" i="6"/>
  <c r="K381" i="6"/>
  <c r="J381" i="6"/>
  <c r="I381" i="6"/>
  <c r="G381" i="6"/>
  <c r="AV380" i="6"/>
  <c r="AW380" i="6" s="1"/>
  <c r="R380" i="6"/>
  <c r="R381" i="6" s="1"/>
  <c r="Q380" i="6"/>
  <c r="AC379" i="6"/>
  <c r="AG379" i="6" s="1"/>
  <c r="AL379" i="6" s="1"/>
  <c r="Y379" i="6"/>
  <c r="AV378" i="6"/>
  <c r="AW378" i="6" s="1"/>
  <c r="AC378" i="6"/>
  <c r="AY378" i="6" s="1"/>
  <c r="AE381" i="6"/>
  <c r="AE35" i="8" s="1"/>
  <c r="U378" i="6"/>
  <c r="U381" i="6" s="1"/>
  <c r="R378" i="6"/>
  <c r="Q378" i="6"/>
  <c r="Q381" i="6" s="1"/>
  <c r="H378" i="6"/>
  <c r="H381" i="6" s="1"/>
  <c r="E378" i="6"/>
  <c r="E379" i="6" s="1"/>
  <c r="E380" i="6" s="1"/>
  <c r="AY377" i="6"/>
  <c r="AW377" i="6"/>
  <c r="AU376" i="6"/>
  <c r="AT376" i="6"/>
  <c r="AS376" i="6"/>
  <c r="AR376" i="6"/>
  <c r="AQ376" i="6"/>
  <c r="AP376" i="6"/>
  <c r="AO376" i="6"/>
  <c r="V376" i="6"/>
  <c r="T376" i="6"/>
  <c r="S376" i="6"/>
  <c r="P376" i="6"/>
  <c r="O376" i="6"/>
  <c r="M376" i="6"/>
  <c r="I376" i="6"/>
  <c r="G376" i="6"/>
  <c r="AV375" i="6"/>
  <c r="AC375" i="6"/>
  <c r="AY375" i="6" s="1"/>
  <c r="AE376" i="6"/>
  <c r="AE34" i="8" s="1"/>
  <c r="U375" i="6"/>
  <c r="R375" i="6"/>
  <c r="Q375" i="6"/>
  <c r="J375" i="6"/>
  <c r="AC374" i="6"/>
  <c r="AG374" i="6" s="1"/>
  <c r="AL374" i="6" s="1"/>
  <c r="Y374" i="6"/>
  <c r="AJ374" i="6"/>
  <c r="AC373" i="6"/>
  <c r="Y373" i="6"/>
  <c r="AJ373" i="6" s="1"/>
  <c r="AC372" i="6"/>
  <c r="AG372" i="6" s="1"/>
  <c r="AL372" i="6" s="1"/>
  <c r="Y372" i="6"/>
  <c r="AJ372" i="6" s="1"/>
  <c r="AV371" i="6"/>
  <c r="AC371" i="6"/>
  <c r="Y371" i="6"/>
  <c r="U371" i="6"/>
  <c r="R371" i="6"/>
  <c r="Q371" i="6"/>
  <c r="K371" i="6"/>
  <c r="K376" i="6" s="1"/>
  <c r="AV370" i="6"/>
  <c r="AW370" i="6" s="1"/>
  <c r="AC370" i="6"/>
  <c r="AY370" i="6" s="1"/>
  <c r="U370" i="6"/>
  <c r="R370" i="6"/>
  <c r="Q370" i="6"/>
  <c r="J370" i="6"/>
  <c r="J376" i="6" s="1"/>
  <c r="H370" i="6"/>
  <c r="H376" i="6" s="1"/>
  <c r="AV369" i="6"/>
  <c r="AW369" i="6" s="1"/>
  <c r="AC369" i="6"/>
  <c r="U369" i="6"/>
  <c r="R369" i="6"/>
  <c r="Q369" i="6"/>
  <c r="H369" i="6"/>
  <c r="AV368" i="6"/>
  <c r="AC368" i="6"/>
  <c r="U368" i="6"/>
  <c r="Q368" i="6"/>
  <c r="N368" i="6"/>
  <c r="L368" i="6"/>
  <c r="L376" i="6" s="1"/>
  <c r="H368" i="6"/>
  <c r="E368" i="6"/>
  <c r="E369" i="6" s="1"/>
  <c r="E370" i="6" s="1"/>
  <c r="E371" i="6" s="1"/>
  <c r="E372" i="6" s="1"/>
  <c r="E373" i="6" s="1"/>
  <c r="E374" i="6"/>
  <c r="E375" i="6" s="1"/>
  <c r="AY367" i="6"/>
  <c r="AW367" i="6"/>
  <c r="AU366" i="6"/>
  <c r="AT366" i="6"/>
  <c r="AS366" i="6"/>
  <c r="AR366" i="6"/>
  <c r="AQ366" i="6"/>
  <c r="AP366" i="6"/>
  <c r="AO366" i="6"/>
  <c r="S366" i="6"/>
  <c r="O366" i="6"/>
  <c r="M366" i="6"/>
  <c r="I366" i="6"/>
  <c r="G366" i="6"/>
  <c r="AC365" i="6"/>
  <c r="AG365" i="6" s="1"/>
  <c r="AL365" i="6"/>
  <c r="AC364" i="6"/>
  <c r="AE364" i="6" s="1"/>
  <c r="Z364" i="6"/>
  <c r="AK364" i="6" s="1"/>
  <c r="Y366" i="6"/>
  <c r="Y33" i="8" s="1"/>
  <c r="W362" i="6"/>
  <c r="AC361" i="6"/>
  <c r="AY361" i="6" s="1"/>
  <c r="AC360" i="6"/>
  <c r="AC359" i="6"/>
  <c r="AG359" i="6" s="1"/>
  <c r="AL359" i="6" s="1"/>
  <c r="R359" i="6"/>
  <c r="Q359" i="6"/>
  <c r="AV358" i="6"/>
  <c r="AW358" i="6" s="1"/>
  <c r="V358" i="6"/>
  <c r="V366" i="6" s="1"/>
  <c r="T358" i="6"/>
  <c r="T366" i="6" s="1"/>
  <c r="Q358" i="6"/>
  <c r="P358" i="6"/>
  <c r="P366" i="6" s="1"/>
  <c r="N358" i="6"/>
  <c r="N366" i="6" s="1"/>
  <c r="L358" i="6"/>
  <c r="L366" i="6" s="1"/>
  <c r="AC357" i="6"/>
  <c r="AY357" i="6"/>
  <c r="AV356" i="6"/>
  <c r="AC356" i="6"/>
  <c r="AE356" i="6" s="1"/>
  <c r="AJ356" i="6" s="1"/>
  <c r="U356" i="6"/>
  <c r="R356" i="6"/>
  <c r="Q356" i="6"/>
  <c r="K356" i="6"/>
  <c r="K366" i="6"/>
  <c r="H356" i="6"/>
  <c r="AV355" i="6"/>
  <c r="AW355" i="6" s="1"/>
  <c r="AC355" i="6"/>
  <c r="AY355" i="6"/>
  <c r="R355" i="6"/>
  <c r="Q355" i="6"/>
  <c r="J355" i="6"/>
  <c r="H355" i="6"/>
  <c r="AV354" i="6"/>
  <c r="AC354" i="6"/>
  <c r="Z354" i="6"/>
  <c r="R354" i="6"/>
  <c r="Q354" i="6"/>
  <c r="AV353" i="6"/>
  <c r="AC353" i="6"/>
  <c r="AY353" i="6" s="1"/>
  <c r="U353" i="6"/>
  <c r="U366" i="6" s="1"/>
  <c r="R353" i="6"/>
  <c r="Q353" i="6"/>
  <c r="J353" i="6"/>
  <c r="H353" i="6"/>
  <c r="E353" i="6"/>
  <c r="E354" i="6" s="1"/>
  <c r="E355" i="6" s="1"/>
  <c r="E356" i="6" s="1"/>
  <c r="E357" i="6" s="1"/>
  <c r="E358" i="6" s="1"/>
  <c r="E359" i="6" s="1"/>
  <c r="E360" i="6" s="1"/>
  <c r="E361" i="6" s="1"/>
  <c r="E362" i="6" s="1"/>
  <c r="E363" i="6" s="1"/>
  <c r="E364" i="6" s="1"/>
  <c r="E365" i="6" s="1"/>
  <c r="AY352" i="6"/>
  <c r="AW352" i="6"/>
  <c r="AW350" i="6"/>
  <c r="AU350" i="6"/>
  <c r="AT350" i="6"/>
  <c r="AS350" i="6"/>
  <c r="AR350" i="6"/>
  <c r="AQ350" i="6"/>
  <c r="AP350" i="6"/>
  <c r="AO350" i="6"/>
  <c r="V350" i="6"/>
  <c r="T350" i="6"/>
  <c r="S350" i="6"/>
  <c r="P350" i="6"/>
  <c r="O350" i="6"/>
  <c r="N350" i="6"/>
  <c r="M350" i="6"/>
  <c r="L350" i="6"/>
  <c r="K350" i="6"/>
  <c r="I350" i="6"/>
  <c r="H350" i="6"/>
  <c r="G350" i="6"/>
  <c r="AC349" i="6"/>
  <c r="AY349" i="6"/>
  <c r="R349" i="6"/>
  <c r="R350" i="6" s="1"/>
  <c r="Q349" i="6"/>
  <c r="AV348" i="6"/>
  <c r="AV350" i="6" s="1"/>
  <c r="AC348" i="6"/>
  <c r="U348" i="6"/>
  <c r="U350" i="6" s="1"/>
  <c r="R348" i="6"/>
  <c r="Q348" i="6"/>
  <c r="J348" i="6"/>
  <c r="J350" i="6" s="1"/>
  <c r="E348" i="6"/>
  <c r="E349" i="6" s="1"/>
  <c r="AY347" i="6"/>
  <c r="AW347" i="6"/>
  <c r="AU346" i="6"/>
  <c r="AT346" i="6"/>
  <c r="AS346" i="6"/>
  <c r="AR346" i="6"/>
  <c r="AQ346" i="6"/>
  <c r="AP346" i="6"/>
  <c r="AO346" i="6"/>
  <c r="V346" i="6"/>
  <c r="T346" i="6"/>
  <c r="S346" i="6"/>
  <c r="O346" i="6"/>
  <c r="M346" i="6"/>
  <c r="K346" i="6"/>
  <c r="I346" i="6"/>
  <c r="G346" i="6"/>
  <c r="AV345" i="6"/>
  <c r="AW345" i="6"/>
  <c r="AC345" i="6"/>
  <c r="AY345" i="6" s="1"/>
  <c r="Z345" i="6"/>
  <c r="U345" i="6"/>
  <c r="R345" i="6"/>
  <c r="Q345" i="6"/>
  <c r="AC344" i="6"/>
  <c r="Y344" i="6"/>
  <c r="AC343" i="6"/>
  <c r="Z343" i="6"/>
  <c r="U343" i="6"/>
  <c r="R343" i="6"/>
  <c r="Q343" i="6"/>
  <c r="AV342" i="6"/>
  <c r="AW342" i="6" s="1"/>
  <c r="AC342" i="6"/>
  <c r="AY342" i="6" s="1"/>
  <c r="U342" i="6"/>
  <c r="R342" i="6"/>
  <c r="Q342" i="6"/>
  <c r="J342" i="6"/>
  <c r="H342" i="6"/>
  <c r="AV341" i="6"/>
  <c r="AW341" i="6"/>
  <c r="AC341" i="6"/>
  <c r="AE346" i="6"/>
  <c r="AE31" i="8" s="1"/>
  <c r="U341" i="6"/>
  <c r="R341" i="6"/>
  <c r="Q341" i="6"/>
  <c r="J341" i="6"/>
  <c r="H341" i="6"/>
  <c r="AV340" i="6"/>
  <c r="AW340" i="6" s="1"/>
  <c r="AC340" i="6"/>
  <c r="Z340" i="6"/>
  <c r="U340" i="6"/>
  <c r="Q340" i="6"/>
  <c r="P340" i="6"/>
  <c r="P346" i="6"/>
  <c r="N340" i="6"/>
  <c r="N346" i="6" s="1"/>
  <c r="L340" i="6"/>
  <c r="L346" i="6" s="1"/>
  <c r="H340" i="6"/>
  <c r="AV339" i="6"/>
  <c r="AW339" i="6" s="1"/>
  <c r="AC339" i="6"/>
  <c r="Z339" i="6"/>
  <c r="U339" i="6"/>
  <c r="R339" i="6"/>
  <c r="Q339" i="6"/>
  <c r="J339" i="6"/>
  <c r="H339" i="6"/>
  <c r="AV338" i="6"/>
  <c r="AW338" i="6" s="1"/>
  <c r="AC338" i="6"/>
  <c r="Z338" i="6"/>
  <c r="U338" i="6"/>
  <c r="R338" i="6"/>
  <c r="R346" i="6" s="1"/>
  <c r="Q338" i="6"/>
  <c r="J338" i="6"/>
  <c r="AV337" i="6"/>
  <c r="AC337" i="6"/>
  <c r="Z337" i="6"/>
  <c r="U337" i="6"/>
  <c r="R337" i="6"/>
  <c r="Q337" i="6"/>
  <c r="Q346" i="6" s="1"/>
  <c r="H337" i="6"/>
  <c r="E337" i="6"/>
  <c r="E338" i="6" s="1"/>
  <c r="E339" i="6" s="1"/>
  <c r="E340" i="6" s="1"/>
  <c r="E341" i="6" s="1"/>
  <c r="E342" i="6" s="1"/>
  <c r="E343" i="6" s="1"/>
  <c r="E344" i="6" s="1"/>
  <c r="E345" i="6" s="1"/>
  <c r="AY336" i="6"/>
  <c r="AW336" i="6"/>
  <c r="AU335" i="6"/>
  <c r="AT335" i="6"/>
  <c r="AS335" i="6"/>
  <c r="AR335" i="6"/>
  <c r="AQ335" i="6"/>
  <c r="AP335" i="6"/>
  <c r="AO335" i="6"/>
  <c r="S335" i="6"/>
  <c r="P335" i="6"/>
  <c r="O335" i="6"/>
  <c r="M335" i="6"/>
  <c r="I335" i="6"/>
  <c r="G335" i="6"/>
  <c r="AC334" i="6"/>
  <c r="AF334" i="6" s="1"/>
  <c r="AK334" i="6" s="1"/>
  <c r="AC333" i="6"/>
  <c r="AY333" i="6" s="1"/>
  <c r="Z333" i="6"/>
  <c r="AC332" i="6"/>
  <c r="Y332" i="6"/>
  <c r="AJ332" i="6" s="1"/>
  <c r="AC330" i="6"/>
  <c r="AY330" i="6" s="1"/>
  <c r="Z330" i="6"/>
  <c r="AK330" i="6"/>
  <c r="W329" i="6"/>
  <c r="R329" i="6"/>
  <c r="Q329" i="6"/>
  <c r="AC328" i="6"/>
  <c r="Y328" i="6"/>
  <c r="AJ328" i="6" s="1"/>
  <c r="AC327" i="6"/>
  <c r="U327" i="6"/>
  <c r="R327" i="6"/>
  <c r="Q327" i="6"/>
  <c r="AC326" i="6"/>
  <c r="Y326" i="6"/>
  <c r="AJ326" i="6" s="1"/>
  <c r="U326" i="6"/>
  <c r="R326" i="6"/>
  <c r="Q326" i="6"/>
  <c r="AV325" i="6"/>
  <c r="AW325" i="6" s="1"/>
  <c r="AC325" i="6"/>
  <c r="AG325" i="6" s="1"/>
  <c r="AL325" i="6" s="1"/>
  <c r="Y325" i="6"/>
  <c r="AJ325" i="6" s="1"/>
  <c r="AN325" i="6" s="1"/>
  <c r="U325" i="6"/>
  <c r="R325" i="6"/>
  <c r="Q325" i="6"/>
  <c r="AC324" i="6"/>
  <c r="Y324" i="6"/>
  <c r="AJ324" i="6" s="1"/>
  <c r="R324" i="6"/>
  <c r="Q324" i="6"/>
  <c r="AC323" i="6"/>
  <c r="Y323" i="6"/>
  <c r="AJ323" i="6" s="1"/>
  <c r="R323" i="6"/>
  <c r="Q323" i="6"/>
  <c r="AC322" i="6"/>
  <c r="Y322" i="6"/>
  <c r="AJ322" i="6"/>
  <c r="U322" i="6"/>
  <c r="R322" i="6"/>
  <c r="Q322" i="6"/>
  <c r="AV321" i="6"/>
  <c r="AW321" i="6" s="1"/>
  <c r="AC321" i="6"/>
  <c r="AF321" i="6" s="1"/>
  <c r="Z321" i="6"/>
  <c r="AK321" i="6" s="1"/>
  <c r="U321" i="6"/>
  <c r="R321" i="6"/>
  <c r="Q321" i="6"/>
  <c r="J321" i="6"/>
  <c r="H321" i="6"/>
  <c r="AC320" i="6"/>
  <c r="Y320" i="6"/>
  <c r="AJ320" i="6" s="1"/>
  <c r="T320" i="6"/>
  <c r="R320" i="6"/>
  <c r="Q320" i="6"/>
  <c r="AV319" i="6"/>
  <c r="AW319" i="6" s="1"/>
  <c r="AC319" i="6"/>
  <c r="Y319" i="6"/>
  <c r="AJ319" i="6"/>
  <c r="U319" i="6"/>
  <c r="R319" i="6"/>
  <c r="Q319" i="6"/>
  <c r="J319" i="6"/>
  <c r="H319" i="6"/>
  <c r="AV318" i="6"/>
  <c r="AW318" i="6" s="1"/>
  <c r="AC318" i="6"/>
  <c r="AG318" i="6" s="1"/>
  <c r="R318" i="6"/>
  <c r="Q318" i="6"/>
  <c r="J318" i="6"/>
  <c r="AV317" i="6"/>
  <c r="AW317" i="6" s="1"/>
  <c r="AC317" i="6"/>
  <c r="AA317" i="6"/>
  <c r="U317" i="6"/>
  <c r="R317" i="6"/>
  <c r="Q317" i="6"/>
  <c r="J317" i="6"/>
  <c r="H317" i="6"/>
  <c r="AV316" i="6"/>
  <c r="AW316" i="6" s="1"/>
  <c r="AC316" i="6"/>
  <c r="AG316" i="6" s="1"/>
  <c r="U316" i="6"/>
  <c r="R316" i="6"/>
  <c r="Q316" i="6"/>
  <c r="J316" i="6"/>
  <c r="H316" i="6"/>
  <c r="AV315" i="6"/>
  <c r="AW315" i="6" s="1"/>
  <c r="Z315" i="6"/>
  <c r="V315" i="6"/>
  <c r="AC315" i="6" s="1"/>
  <c r="AF315" i="6" s="1"/>
  <c r="U315" i="6"/>
  <c r="Q315" i="6"/>
  <c r="N315" i="6"/>
  <c r="R315" i="6" s="1"/>
  <c r="H315" i="6"/>
  <c r="AC314" i="6"/>
  <c r="AF314" i="6" s="1"/>
  <c r="Z314" i="6"/>
  <c r="AK314" i="6" s="1"/>
  <c r="R314" i="6"/>
  <c r="Q314" i="6"/>
  <c r="AV313" i="6"/>
  <c r="AW313" i="6" s="1"/>
  <c r="AC313" i="6"/>
  <c r="AY313" i="6" s="1"/>
  <c r="Z313" i="6"/>
  <c r="AK313" i="6"/>
  <c r="T313" i="6"/>
  <c r="R313" i="6"/>
  <c r="Q313" i="6"/>
  <c r="H313" i="6"/>
  <c r="AV312" i="6"/>
  <c r="AW312" i="6" s="1"/>
  <c r="AC312" i="6"/>
  <c r="Z312" i="6"/>
  <c r="AA312" i="6"/>
  <c r="U312" i="6"/>
  <c r="R312" i="6"/>
  <c r="Q312" i="6"/>
  <c r="J312" i="6"/>
  <c r="H312" i="6"/>
  <c r="AV311" i="6"/>
  <c r="AW311" i="6" s="1"/>
  <c r="AC311" i="6"/>
  <c r="Z311" i="6"/>
  <c r="Q311" i="6"/>
  <c r="N311" i="6"/>
  <c r="N335" i="6" s="1"/>
  <c r="L311" i="6"/>
  <c r="L335" i="6" s="1"/>
  <c r="J311" i="6"/>
  <c r="H311" i="6"/>
  <c r="AV310" i="6"/>
  <c r="AW310" i="6"/>
  <c r="AC310" i="6"/>
  <c r="U310" i="6"/>
  <c r="R310" i="6"/>
  <c r="Q310" i="6"/>
  <c r="J310" i="6"/>
  <c r="H310" i="6"/>
  <c r="AV309" i="6"/>
  <c r="AW309" i="6" s="1"/>
  <c r="AC309" i="6"/>
  <c r="AY309" i="6" s="1"/>
  <c r="U309" i="6"/>
  <c r="R309" i="6"/>
  <c r="Q309" i="6"/>
  <c r="J309" i="6"/>
  <c r="H309" i="6"/>
  <c r="AV308" i="6"/>
  <c r="AW308" i="6" s="1"/>
  <c r="AC308" i="6"/>
  <c r="AY308" i="6" s="1"/>
  <c r="U308" i="6"/>
  <c r="R308" i="6"/>
  <c r="Q308" i="6"/>
  <c r="AV307" i="6"/>
  <c r="AW307" i="6"/>
  <c r="AC307" i="6"/>
  <c r="AY307" i="6" s="1"/>
  <c r="U307" i="6"/>
  <c r="R307" i="6"/>
  <c r="Q307" i="6"/>
  <c r="J307" i="6"/>
  <c r="H307" i="6"/>
  <c r="AV306" i="6"/>
  <c r="AW306" i="6" s="1"/>
  <c r="AC306" i="6"/>
  <c r="Z306" i="6"/>
  <c r="R306" i="6"/>
  <c r="Q306" i="6"/>
  <c r="K306" i="6"/>
  <c r="J306" i="6"/>
  <c r="H306" i="6"/>
  <c r="AV305" i="6"/>
  <c r="AW305" i="6" s="1"/>
  <c r="AC305" i="6"/>
  <c r="Y305" i="6"/>
  <c r="AJ305" i="6" s="1"/>
  <c r="U305" i="6"/>
  <c r="R305" i="6"/>
  <c r="Q305" i="6"/>
  <c r="J305" i="6"/>
  <c r="AV304" i="6"/>
  <c r="AW304" i="6" s="1"/>
  <c r="AC304" i="6"/>
  <c r="U304" i="6"/>
  <c r="R304" i="6"/>
  <c r="Q304" i="6"/>
  <c r="K304" i="6"/>
  <c r="J304" i="6"/>
  <c r="H304" i="6"/>
  <c r="AV303" i="6"/>
  <c r="AW303" i="6" s="1"/>
  <c r="AC303" i="6"/>
  <c r="AG303" i="6"/>
  <c r="U303" i="6"/>
  <c r="R303" i="6"/>
  <c r="Q303" i="6"/>
  <c r="H303" i="6"/>
  <c r="W302" i="6"/>
  <c r="AV301" i="6"/>
  <c r="AW301" i="6" s="1"/>
  <c r="AC301" i="6"/>
  <c r="AY301" i="6" s="1"/>
  <c r="Z301" i="6"/>
  <c r="T301" i="6"/>
  <c r="R301" i="6"/>
  <c r="Q301" i="6"/>
  <c r="J301" i="6"/>
  <c r="AV300" i="6"/>
  <c r="AC300" i="6"/>
  <c r="AY300" i="6"/>
  <c r="U300" i="6"/>
  <c r="R300" i="6"/>
  <c r="Q300" i="6"/>
  <c r="K300" i="6"/>
  <c r="K335" i="6" s="1"/>
  <c r="J300" i="6"/>
  <c r="H300" i="6"/>
  <c r="E300" i="6"/>
  <c r="E301" i="6"/>
  <c r="E302" i="6" s="1"/>
  <c r="E303" i="6" s="1"/>
  <c r="E304" i="6" s="1"/>
  <c r="E305" i="6" s="1"/>
  <c r="E306" i="6" s="1"/>
  <c r="E307" i="6" s="1"/>
  <c r="E308" i="6" s="1"/>
  <c r="E309" i="6" s="1"/>
  <c r="E310" i="6" s="1"/>
  <c r="E311" i="6" s="1"/>
  <c r="E312" i="6" s="1"/>
  <c r="E313" i="6" s="1"/>
  <c r="E314" i="6" s="1"/>
  <c r="E315" i="6" s="1"/>
  <c r="E316" i="6" s="1"/>
  <c r="E317" i="6" s="1"/>
  <c r="E318" i="6" s="1"/>
  <c r="E319" i="6" s="1"/>
  <c r="E320" i="6" s="1"/>
  <c r="E321" i="6" s="1"/>
  <c r="E322" i="6" s="1"/>
  <c r="E323" i="6" s="1"/>
  <c r="E324" i="6" s="1"/>
  <c r="E325" i="6" s="1"/>
  <c r="E326" i="6" s="1"/>
  <c r="E327" i="6" s="1"/>
  <c r="E328" i="6" s="1"/>
  <c r="E329" i="6" s="1"/>
  <c r="E330" i="6" s="1"/>
  <c r="E331" i="6" s="1"/>
  <c r="E332" i="6" s="1"/>
  <c r="E333" i="6" s="1"/>
  <c r="E334" i="6" s="1"/>
  <c r="AY299" i="6"/>
  <c r="AW299" i="6"/>
  <c r="AU298" i="6"/>
  <c r="AT298" i="6"/>
  <c r="AS298" i="6"/>
  <c r="AR298" i="6"/>
  <c r="AQ298" i="6"/>
  <c r="AP298" i="6"/>
  <c r="AO298" i="6"/>
  <c r="V298" i="6"/>
  <c r="T298" i="6"/>
  <c r="S298" i="6"/>
  <c r="P298" i="6"/>
  <c r="O298" i="6"/>
  <c r="N298" i="6"/>
  <c r="M298" i="6"/>
  <c r="L298" i="6"/>
  <c r="K298" i="6"/>
  <c r="I298" i="6"/>
  <c r="G298" i="6"/>
  <c r="AC297" i="6"/>
  <c r="AC296" i="6"/>
  <c r="AY296" i="6" s="1"/>
  <c r="AV295" i="6"/>
  <c r="AW295" i="6" s="1"/>
  <c r="AC295" i="6"/>
  <c r="AG295" i="6" s="1"/>
  <c r="U295" i="6"/>
  <c r="R295" i="6"/>
  <c r="Q295" i="6"/>
  <c r="AV294" i="6"/>
  <c r="AW294" i="6" s="1"/>
  <c r="AC294" i="6"/>
  <c r="AG294" i="6" s="1"/>
  <c r="U294" i="6"/>
  <c r="R294" i="6"/>
  <c r="Q294" i="6"/>
  <c r="AV293" i="6"/>
  <c r="AW293" i="6" s="1"/>
  <c r="AC293" i="6"/>
  <c r="AY293" i="6" s="1"/>
  <c r="U293" i="6"/>
  <c r="R293" i="6"/>
  <c r="Q293" i="6"/>
  <c r="J293" i="6"/>
  <c r="AV292" i="6"/>
  <c r="AW292" i="6" s="1"/>
  <c r="AC292" i="6"/>
  <c r="AY292" i="6" s="1"/>
  <c r="U292" i="6"/>
  <c r="R292" i="6"/>
  <c r="Q292" i="6"/>
  <c r="H292" i="6"/>
  <c r="H298" i="6" s="1"/>
  <c r="AV291" i="6"/>
  <c r="AW291" i="6" s="1"/>
  <c r="AC291" i="6"/>
  <c r="AY291" i="6"/>
  <c r="U291" i="6"/>
  <c r="R291" i="6"/>
  <c r="Q291" i="6"/>
  <c r="H291" i="6"/>
  <c r="AV290" i="6"/>
  <c r="AW290" i="6" s="1"/>
  <c r="AC290" i="6"/>
  <c r="U290" i="6"/>
  <c r="R290" i="6"/>
  <c r="Q290" i="6"/>
  <c r="AV289" i="6"/>
  <c r="AW289" i="6" s="1"/>
  <c r="AC289" i="6"/>
  <c r="U289" i="6"/>
  <c r="R289" i="6"/>
  <c r="Q289" i="6"/>
  <c r="J289" i="6"/>
  <c r="H289" i="6"/>
  <c r="AV288" i="6"/>
  <c r="AC288" i="6"/>
  <c r="U288" i="6"/>
  <c r="R288" i="6"/>
  <c r="Q288" i="6"/>
  <c r="J288" i="6"/>
  <c r="E288" i="6"/>
  <c r="E289" i="6"/>
  <c r="E290" i="6" s="1"/>
  <c r="E291" i="6" s="1"/>
  <c r="E292" i="6" s="1"/>
  <c r="E293" i="6" s="1"/>
  <c r="E294" i="6" s="1"/>
  <c r="E295" i="6" s="1"/>
  <c r="E296" i="6" s="1"/>
  <c r="E297" i="6" s="1"/>
  <c r="AY287" i="6"/>
  <c r="AW287" i="6"/>
  <c r="AU286" i="6"/>
  <c r="AT286" i="6"/>
  <c r="AS286" i="6"/>
  <c r="AR286" i="6"/>
  <c r="AQ286" i="6"/>
  <c r="AP286" i="6"/>
  <c r="AO286" i="6"/>
  <c r="AO351" i="6" s="1"/>
  <c r="V286" i="6"/>
  <c r="T286" i="6"/>
  <c r="S286" i="6"/>
  <c r="P286" i="6"/>
  <c r="O286" i="6"/>
  <c r="N286" i="6"/>
  <c r="M286" i="6"/>
  <c r="L286" i="6"/>
  <c r="K286" i="6"/>
  <c r="J286" i="6"/>
  <c r="I286" i="6"/>
  <c r="G286" i="6"/>
  <c r="AV285" i="6"/>
  <c r="AC285" i="6"/>
  <c r="Y285" i="6"/>
  <c r="AJ285" i="6" s="1"/>
  <c r="U285" i="6"/>
  <c r="R285" i="6"/>
  <c r="Q285" i="6"/>
  <c r="AV284" i="6"/>
  <c r="AW284" i="6" s="1"/>
  <c r="AC284" i="6"/>
  <c r="AE284" i="6" s="1"/>
  <c r="U284" i="6"/>
  <c r="R284" i="6"/>
  <c r="Q284" i="6"/>
  <c r="H284" i="6"/>
  <c r="H286" i="6" s="1"/>
  <c r="E284" i="6"/>
  <c r="E285" i="6"/>
  <c r="AY283" i="6"/>
  <c r="AW283" i="6"/>
  <c r="V282" i="6"/>
  <c r="T282" i="6"/>
  <c r="S282" i="6"/>
  <c r="P282" i="6"/>
  <c r="O282" i="6"/>
  <c r="M282" i="6"/>
  <c r="L282" i="6"/>
  <c r="I282" i="6"/>
  <c r="H282" i="6"/>
  <c r="G282" i="6"/>
  <c r="AC281" i="6"/>
  <c r="U281" i="6"/>
  <c r="Q281" i="6"/>
  <c r="N281" i="6"/>
  <c r="AC280" i="6"/>
  <c r="Z280" i="6"/>
  <c r="Z282" i="6" s="1"/>
  <c r="Z27" i="8" s="1"/>
  <c r="U280" i="6"/>
  <c r="R280" i="6"/>
  <c r="Q280" i="6"/>
  <c r="K280" i="6"/>
  <c r="K282" i="6" s="1"/>
  <c r="J280" i="6"/>
  <c r="J282" i="6" s="1"/>
  <c r="E280" i="6"/>
  <c r="E281" i="6" s="1"/>
  <c r="AY279" i="6"/>
  <c r="AU278" i="6"/>
  <c r="AT278" i="6"/>
  <c r="AS278" i="6"/>
  <c r="AR278" i="6"/>
  <c r="AQ278" i="6"/>
  <c r="AP278" i="6"/>
  <c r="AO278" i="6"/>
  <c r="V278" i="6"/>
  <c r="T278" i="6"/>
  <c r="S278" i="6"/>
  <c r="P278" i="6"/>
  <c r="O278" i="6"/>
  <c r="O351" i="6" s="1"/>
  <c r="M278" i="6"/>
  <c r="L278" i="6"/>
  <c r="I278" i="6"/>
  <c r="G278" i="6"/>
  <c r="AV277" i="6"/>
  <c r="AW277" i="6" s="1"/>
  <c r="AC277" i="6"/>
  <c r="AY277" i="6" s="1"/>
  <c r="Z277" i="6"/>
  <c r="AK277" i="6"/>
  <c r="AN277" i="6" s="1"/>
  <c r="AH277" i="6"/>
  <c r="AM277" i="6" s="1"/>
  <c r="U277" i="6"/>
  <c r="R277" i="6"/>
  <c r="Q277" i="6"/>
  <c r="J277" i="6"/>
  <c r="H277" i="6"/>
  <c r="AV276" i="6"/>
  <c r="AW276" i="6" s="1"/>
  <c r="AC276" i="6"/>
  <c r="U276" i="6"/>
  <c r="R276" i="6"/>
  <c r="Q276" i="6"/>
  <c r="K276" i="6"/>
  <c r="J276" i="6"/>
  <c r="AV275" i="6"/>
  <c r="AW275" i="6" s="1"/>
  <c r="AC275" i="6"/>
  <c r="U275" i="6"/>
  <c r="R275" i="6"/>
  <c r="Q275" i="6"/>
  <c r="AV274" i="6"/>
  <c r="AW274" i="6"/>
  <c r="AC274" i="6"/>
  <c r="AE274" i="6" s="1"/>
  <c r="U274" i="6"/>
  <c r="R274" i="6"/>
  <c r="Q274" i="6"/>
  <c r="J274" i="6"/>
  <c r="H274" i="6"/>
  <c r="AV273" i="6"/>
  <c r="AW273" i="6" s="1"/>
  <c r="AC273" i="6"/>
  <c r="U273" i="6"/>
  <c r="R273" i="6"/>
  <c r="Q273" i="6"/>
  <c r="J273" i="6"/>
  <c r="H273" i="6"/>
  <c r="AV272" i="6"/>
  <c r="AW272" i="6" s="1"/>
  <c r="AC272" i="6"/>
  <c r="AG272" i="6" s="1"/>
  <c r="AL272" i="6" s="1"/>
  <c r="Y272" i="6"/>
  <c r="AJ272" i="6" s="1"/>
  <c r="U272" i="6"/>
  <c r="R272" i="6"/>
  <c r="Q272" i="6"/>
  <c r="K272" i="6"/>
  <c r="J272" i="6"/>
  <c r="H272" i="6"/>
  <c r="AV271" i="6"/>
  <c r="AW271" i="6" s="1"/>
  <c r="AC271" i="6"/>
  <c r="U271" i="6"/>
  <c r="R271" i="6"/>
  <c r="Q271" i="6"/>
  <c r="J271" i="6"/>
  <c r="H271" i="6"/>
  <c r="AV270" i="6"/>
  <c r="AW270" i="6" s="1"/>
  <c r="AC270" i="6"/>
  <c r="AE270" i="6" s="1"/>
  <c r="U270" i="6"/>
  <c r="R270" i="6"/>
  <c r="Q270" i="6"/>
  <c r="J270" i="6"/>
  <c r="H270" i="6"/>
  <c r="H278" i="6" s="1"/>
  <c r="AV269" i="6"/>
  <c r="AW269" i="6" s="1"/>
  <c r="AC269" i="6"/>
  <c r="AY269" i="6" s="1"/>
  <c r="U269" i="6"/>
  <c r="R269" i="6"/>
  <c r="Q269" i="6"/>
  <c r="H269" i="6"/>
  <c r="AV268" i="6"/>
  <c r="AW268" i="6" s="1"/>
  <c r="AC268" i="6"/>
  <c r="AY268" i="6" s="1"/>
  <c r="U268" i="6"/>
  <c r="Q268" i="6"/>
  <c r="N268" i="6"/>
  <c r="J268" i="6"/>
  <c r="H268" i="6"/>
  <c r="AV267" i="6"/>
  <c r="AW267" i="6" s="1"/>
  <c r="AC267" i="6"/>
  <c r="Z267" i="6"/>
  <c r="U267" i="6"/>
  <c r="R267" i="6"/>
  <c r="Q267" i="6"/>
  <c r="K267" i="6"/>
  <c r="J267" i="6"/>
  <c r="H267" i="6"/>
  <c r="AV266" i="6"/>
  <c r="AW266" i="6"/>
  <c r="AC266" i="6"/>
  <c r="U266" i="6"/>
  <c r="R266" i="6"/>
  <c r="Q266" i="6"/>
  <c r="J266" i="6"/>
  <c r="H266" i="6"/>
  <c r="AV265" i="6"/>
  <c r="AV278" i="6" s="1"/>
  <c r="AW265" i="6"/>
  <c r="AC265" i="6"/>
  <c r="U265" i="6"/>
  <c r="R265" i="6"/>
  <c r="Q265" i="6"/>
  <c r="H265" i="6"/>
  <c r="AV264" i="6"/>
  <c r="AW264" i="6" s="1"/>
  <c r="AC264" i="6"/>
  <c r="U264" i="6"/>
  <c r="R264" i="6"/>
  <c r="Q264" i="6"/>
  <c r="J264" i="6"/>
  <c r="H264" i="6"/>
  <c r="AV263" i="6"/>
  <c r="AW263" i="6" s="1"/>
  <c r="AC263" i="6"/>
  <c r="AY263" i="6" s="1"/>
  <c r="AE263" i="6"/>
  <c r="R263" i="6"/>
  <c r="Q263" i="6"/>
  <c r="J263" i="6"/>
  <c r="H263" i="6"/>
  <c r="AV262" i="6"/>
  <c r="AW262" i="6" s="1"/>
  <c r="AC262" i="6"/>
  <c r="U262" i="6"/>
  <c r="R262" i="6"/>
  <c r="Q262" i="6"/>
  <c r="K262" i="6"/>
  <c r="J262" i="6"/>
  <c r="H262" i="6"/>
  <c r="AV261" i="6"/>
  <c r="AW261" i="6" s="1"/>
  <c r="AC261" i="6"/>
  <c r="AY261" i="6" s="1"/>
  <c r="AF261" i="6"/>
  <c r="Z261" i="6"/>
  <c r="U261" i="6"/>
  <c r="R261" i="6"/>
  <c r="Q261" i="6"/>
  <c r="J261" i="6"/>
  <c r="H261" i="6"/>
  <c r="AV260" i="6"/>
  <c r="AW260" i="6" s="1"/>
  <c r="AC260" i="6"/>
  <c r="AY260" i="6" s="1"/>
  <c r="U260" i="6"/>
  <c r="Q260" i="6"/>
  <c r="Q278" i="6" s="1"/>
  <c r="N260" i="6"/>
  <c r="J260" i="6"/>
  <c r="H260" i="6"/>
  <c r="AV259" i="6"/>
  <c r="AW259" i="6" s="1"/>
  <c r="AC259" i="6"/>
  <c r="U259" i="6"/>
  <c r="R259" i="6"/>
  <c r="Q259" i="6"/>
  <c r="J259" i="6"/>
  <c r="AV258" i="6"/>
  <c r="AW258" i="6" s="1"/>
  <c r="AC258" i="6"/>
  <c r="AE258" i="6" s="1"/>
  <c r="AJ258" i="6"/>
  <c r="U258" i="6"/>
  <c r="R258" i="6"/>
  <c r="Q258" i="6"/>
  <c r="J258" i="6"/>
  <c r="H258" i="6"/>
  <c r="E258" i="6"/>
  <c r="E259" i="6" s="1"/>
  <c r="E260" i="6" s="1"/>
  <c r="E261" i="6" s="1"/>
  <c r="E262" i="6" s="1"/>
  <c r="E263" i="6" s="1"/>
  <c r="E264" i="6" s="1"/>
  <c r="E265" i="6" s="1"/>
  <c r="E266" i="6" s="1"/>
  <c r="E267" i="6" s="1"/>
  <c r="E268" i="6" s="1"/>
  <c r="E269" i="6" s="1"/>
  <c r="E270" i="6" s="1"/>
  <c r="E271" i="6" s="1"/>
  <c r="E272" i="6" s="1"/>
  <c r="E273" i="6" s="1"/>
  <c r="E274" i="6" s="1"/>
  <c r="E275" i="6" s="1"/>
  <c r="E276" i="6" s="1"/>
  <c r="E277" i="6" s="1"/>
  <c r="AY257" i="6"/>
  <c r="V256" i="6"/>
  <c r="U256" i="6"/>
  <c r="T256" i="6"/>
  <c r="S256" i="6"/>
  <c r="P256" i="6"/>
  <c r="O256" i="6"/>
  <c r="N256" i="6"/>
  <c r="M256" i="6"/>
  <c r="L256" i="6"/>
  <c r="K256" i="6"/>
  <c r="J256" i="6"/>
  <c r="I256" i="6"/>
  <c r="H256" i="6"/>
  <c r="G256" i="6"/>
  <c r="AC255" i="6"/>
  <c r="AG255" i="6" s="1"/>
  <c r="AL255" i="6" s="1"/>
  <c r="Y255" i="6"/>
  <c r="AJ255" i="6" s="1"/>
  <c r="AC254" i="6"/>
  <c r="AG254" i="6" s="1"/>
  <c r="AL254" i="6" s="1"/>
  <c r="Y254" i="6"/>
  <c r="AC253" i="6"/>
  <c r="AG253" i="6" s="1"/>
  <c r="AL253" i="6" s="1"/>
  <c r="Y253" i="6"/>
  <c r="AJ253" i="6"/>
  <c r="AC252" i="6"/>
  <c r="Y252" i="6"/>
  <c r="AJ252" i="6" s="1"/>
  <c r="R252" i="6"/>
  <c r="R256" i="6"/>
  <c r="Q252" i="6"/>
  <c r="Q256" i="6" s="1"/>
  <c r="E252" i="6"/>
  <c r="E253" i="6" s="1"/>
  <c r="E254" i="6" s="1"/>
  <c r="E255" i="6" s="1"/>
  <c r="AY251" i="6"/>
  <c r="AW251" i="6"/>
  <c r="AY250" i="6"/>
  <c r="AW250" i="6"/>
  <c r="AU249" i="6"/>
  <c r="AT249" i="6"/>
  <c r="AS249" i="6"/>
  <c r="AR249" i="6"/>
  <c r="AQ249" i="6"/>
  <c r="AP249" i="6"/>
  <c r="AO249" i="6"/>
  <c r="V249" i="6"/>
  <c r="S249" i="6"/>
  <c r="P249" i="6"/>
  <c r="O249" i="6"/>
  <c r="N249" i="6"/>
  <c r="M249" i="6"/>
  <c r="K249" i="6"/>
  <c r="I249" i="6"/>
  <c r="G249" i="6"/>
  <c r="AG248" i="6"/>
  <c r="R248" i="6"/>
  <c r="Q248" i="6"/>
  <c r="AC247" i="6"/>
  <c r="AC246" i="6"/>
  <c r="AY246" i="6"/>
  <c r="U246" i="6"/>
  <c r="R246" i="6"/>
  <c r="Q246" i="6"/>
  <c r="AV245" i="6"/>
  <c r="AW245" i="6" s="1"/>
  <c r="AC245" i="6"/>
  <c r="AY245" i="6"/>
  <c r="R245" i="6"/>
  <c r="Q245" i="6"/>
  <c r="J245" i="6"/>
  <c r="H245" i="6"/>
  <c r="AV244" i="6"/>
  <c r="AW244" i="6" s="1"/>
  <c r="AC244" i="6"/>
  <c r="AY244" i="6" s="1"/>
  <c r="Y244" i="6"/>
  <c r="AJ244" i="6"/>
  <c r="U244" i="6"/>
  <c r="R244" i="6"/>
  <c r="Q244" i="6"/>
  <c r="L244" i="6"/>
  <c r="L249" i="6" s="1"/>
  <c r="AV243" i="6"/>
  <c r="AW243" i="6" s="1"/>
  <c r="AC243" i="6"/>
  <c r="AY243" i="6" s="1"/>
  <c r="X243" i="6"/>
  <c r="AI243" i="6" s="1"/>
  <c r="T243" i="6"/>
  <c r="U243" i="6" s="1"/>
  <c r="R243" i="6"/>
  <c r="Q243" i="6"/>
  <c r="J243" i="6"/>
  <c r="H243" i="6"/>
  <c r="AV242" i="6"/>
  <c r="AW242" i="6" s="1"/>
  <c r="W242" i="6"/>
  <c r="AC242" i="6" s="1"/>
  <c r="U242" i="6"/>
  <c r="R242" i="6"/>
  <c r="Q242" i="6"/>
  <c r="H242" i="6"/>
  <c r="AV241" i="6"/>
  <c r="AW241" i="6" s="1"/>
  <c r="AC241" i="6"/>
  <c r="AY241" i="6"/>
  <c r="U241" i="6"/>
  <c r="R241" i="6"/>
  <c r="Q241" i="6"/>
  <c r="J241" i="6"/>
  <c r="H241" i="6"/>
  <c r="H249" i="6" s="1"/>
  <c r="E241" i="6"/>
  <c r="E242" i="6" s="1"/>
  <c r="E243" i="6" s="1"/>
  <c r="E244" i="6" s="1"/>
  <c r="E245" i="6" s="1"/>
  <c r="E246" i="6" s="1"/>
  <c r="E247" i="6" s="1"/>
  <c r="E248" i="6" s="1"/>
  <c r="AY240" i="6"/>
  <c r="AW240" i="6"/>
  <c r="AU239" i="6"/>
  <c r="AS239" i="6"/>
  <c r="AR239" i="6"/>
  <c r="AQ239" i="6"/>
  <c r="AP239" i="6"/>
  <c r="AO239" i="6"/>
  <c r="V239" i="6"/>
  <c r="T239" i="6"/>
  <c r="S239" i="6"/>
  <c r="P239" i="6"/>
  <c r="O239" i="6"/>
  <c r="N239" i="6"/>
  <c r="M239" i="6"/>
  <c r="I239" i="6"/>
  <c r="G239" i="6"/>
  <c r="AC238" i="6"/>
  <c r="AG238" i="6" s="1"/>
  <c r="AL238" i="6" s="1"/>
  <c r="AY238" i="6"/>
  <c r="Y238" i="6"/>
  <c r="AJ238" i="6" s="1"/>
  <c r="AC237" i="6"/>
  <c r="AG237" i="6" s="1"/>
  <c r="AL237" i="6" s="1"/>
  <c r="Y237" i="6"/>
  <c r="R237" i="6"/>
  <c r="Q237" i="6"/>
  <c r="AC236" i="6"/>
  <c r="AY236" i="6"/>
  <c r="U236" i="6"/>
  <c r="R236" i="6"/>
  <c r="Q236" i="6"/>
  <c r="AV235" i="6"/>
  <c r="AW235" i="6" s="1"/>
  <c r="AC235" i="6"/>
  <c r="AG235" i="6" s="1"/>
  <c r="AL235" i="6" s="1"/>
  <c r="Y235" i="6"/>
  <c r="AJ235" i="6" s="1"/>
  <c r="U235" i="6"/>
  <c r="R235" i="6"/>
  <c r="Q235" i="6"/>
  <c r="J235" i="6"/>
  <c r="AV234" i="6"/>
  <c r="AC234" i="6"/>
  <c r="AY234" i="6" s="1"/>
  <c r="U234" i="6"/>
  <c r="R234" i="6"/>
  <c r="Q234" i="6"/>
  <c r="AV233" i="6"/>
  <c r="AC233" i="6"/>
  <c r="AY233" i="6" s="1"/>
  <c r="U233" i="6"/>
  <c r="R233" i="6"/>
  <c r="Q233" i="6"/>
  <c r="AV232" i="6"/>
  <c r="AW232" i="6" s="1"/>
  <c r="AC232" i="6"/>
  <c r="AY232" i="6" s="1"/>
  <c r="U232" i="6"/>
  <c r="R232" i="6"/>
  <c r="Q232" i="6"/>
  <c r="H232" i="6"/>
  <c r="AV231" i="6"/>
  <c r="AW231" i="6" s="1"/>
  <c r="AC231" i="6"/>
  <c r="AY231" i="6"/>
  <c r="U231" i="6"/>
  <c r="R231" i="6"/>
  <c r="Q231" i="6"/>
  <c r="H231" i="6"/>
  <c r="AV230" i="6"/>
  <c r="AW230" i="6" s="1"/>
  <c r="AC230" i="6"/>
  <c r="AY230" i="6" s="1"/>
  <c r="U230" i="6"/>
  <c r="R230" i="6"/>
  <c r="Q230" i="6"/>
  <c r="H230" i="6"/>
  <c r="AV229" i="6"/>
  <c r="AW229" i="6" s="1"/>
  <c r="AC229" i="6"/>
  <c r="U229" i="6"/>
  <c r="R229" i="6"/>
  <c r="Q229" i="6"/>
  <c r="J229" i="6"/>
  <c r="AC228" i="6"/>
  <c r="AG228" i="6" s="1"/>
  <c r="AL228" i="6" s="1"/>
  <c r="Y228" i="6"/>
  <c r="AJ228" i="6" s="1"/>
  <c r="U228" i="6"/>
  <c r="R228" i="6"/>
  <c r="Q228" i="6"/>
  <c r="AC227" i="6"/>
  <c r="Y227" i="6"/>
  <c r="AV226" i="6"/>
  <c r="AW226" i="6" s="1"/>
  <c r="AC226" i="6"/>
  <c r="AY226" i="6" s="1"/>
  <c r="U226" i="6"/>
  <c r="R226" i="6"/>
  <c r="Q226" i="6"/>
  <c r="J226" i="6"/>
  <c r="H226" i="6"/>
  <c r="AV225" i="6"/>
  <c r="AW225" i="6" s="1"/>
  <c r="AC225" i="6"/>
  <c r="AY225" i="6" s="1"/>
  <c r="U225" i="6"/>
  <c r="R225" i="6"/>
  <c r="Q225" i="6"/>
  <c r="K225" i="6"/>
  <c r="K239" i="6" s="1"/>
  <c r="J225" i="6"/>
  <c r="H225" i="6"/>
  <c r="AV224" i="6"/>
  <c r="AW224" i="6" s="1"/>
  <c r="AC224" i="6"/>
  <c r="AY224" i="6" s="1"/>
  <c r="U224" i="6"/>
  <c r="R224" i="6"/>
  <c r="Q224" i="6"/>
  <c r="J224" i="6"/>
  <c r="AC223" i="6"/>
  <c r="AY223" i="6" s="1"/>
  <c r="Y223" i="6"/>
  <c r="AJ223" i="6" s="1"/>
  <c r="U223" i="6"/>
  <c r="AV222" i="6"/>
  <c r="AW222" i="6" s="1"/>
  <c r="AC222" i="6"/>
  <c r="AY222" i="6" s="1"/>
  <c r="U222" i="6"/>
  <c r="R222" i="6"/>
  <c r="Q222" i="6"/>
  <c r="J222" i="6"/>
  <c r="H222" i="6"/>
  <c r="H239" i="6" s="1"/>
  <c r="AC221" i="6"/>
  <c r="AY221" i="6" s="1"/>
  <c r="U221" i="6"/>
  <c r="R221" i="6"/>
  <c r="Q221" i="6"/>
  <c r="AV220" i="6"/>
  <c r="AW220" i="6" s="1"/>
  <c r="AC220" i="6"/>
  <c r="U220" i="6"/>
  <c r="R220" i="6"/>
  <c r="Q220" i="6"/>
  <c r="H220" i="6"/>
  <c r="AV219" i="6"/>
  <c r="AW219" i="6" s="1"/>
  <c r="AC219" i="6"/>
  <c r="AG219" i="6" s="1"/>
  <c r="U219" i="6"/>
  <c r="R219" i="6"/>
  <c r="Q219" i="6"/>
  <c r="J219" i="6"/>
  <c r="H219" i="6"/>
  <c r="AV218" i="6"/>
  <c r="AW218" i="6" s="1"/>
  <c r="AC218" i="6"/>
  <c r="AY218" i="6" s="1"/>
  <c r="U218" i="6"/>
  <c r="R218" i="6"/>
  <c r="Q218" i="6"/>
  <c r="J218" i="6"/>
  <c r="AV217" i="6"/>
  <c r="AC217" i="6"/>
  <c r="U217" i="6"/>
  <c r="R217" i="6"/>
  <c r="Q217" i="6"/>
  <c r="AT216" i="6"/>
  <c r="AV216" i="6" s="1"/>
  <c r="AW216" i="6" s="1"/>
  <c r="AC216" i="6"/>
  <c r="AG216" i="6" s="1"/>
  <c r="U216" i="6"/>
  <c r="R216" i="6"/>
  <c r="Q216" i="6"/>
  <c r="L216" i="6"/>
  <c r="L239" i="6" s="1"/>
  <c r="J216" i="6"/>
  <c r="H216" i="6"/>
  <c r="AV215" i="6"/>
  <c r="AW215" i="6" s="1"/>
  <c r="AC215" i="6"/>
  <c r="AY215" i="6"/>
  <c r="R215" i="6"/>
  <c r="Q215" i="6"/>
  <c r="AV214" i="6"/>
  <c r="AW214" i="6" s="1"/>
  <c r="AC214" i="6"/>
  <c r="AY214" i="6" s="1"/>
  <c r="U214" i="6"/>
  <c r="R214" i="6"/>
  <c r="Q214" i="6"/>
  <c r="AV213" i="6"/>
  <c r="AW213" i="6" s="1"/>
  <c r="AC213" i="6"/>
  <c r="AY213" i="6" s="1"/>
  <c r="U213" i="6"/>
  <c r="R213" i="6"/>
  <c r="Q213" i="6"/>
  <c r="J213" i="6"/>
  <c r="H213" i="6"/>
  <c r="AV212" i="6"/>
  <c r="AW212" i="6" s="1"/>
  <c r="AC212" i="6"/>
  <c r="U212" i="6"/>
  <c r="R212" i="6"/>
  <c r="Q212" i="6"/>
  <c r="H212" i="6"/>
  <c r="E212" i="6"/>
  <c r="E213" i="6"/>
  <c r="E214" i="6" s="1"/>
  <c r="E215" i="6" s="1"/>
  <c r="E216" i="6" s="1"/>
  <c r="E217" i="6" s="1"/>
  <c r="E218" i="6" s="1"/>
  <c r="E219" i="6" s="1"/>
  <c r="E220" i="6" s="1"/>
  <c r="E221" i="6" s="1"/>
  <c r="E222" i="6" s="1"/>
  <c r="E223" i="6" s="1"/>
  <c r="E224" i="6" s="1"/>
  <c r="E225" i="6" s="1"/>
  <c r="E226" i="6" s="1"/>
  <c r="E227" i="6" s="1"/>
  <c r="E228" i="6" s="1"/>
  <c r="E229" i="6" s="1"/>
  <c r="E230" i="6" s="1"/>
  <c r="E231" i="6" s="1"/>
  <c r="E232" i="6" s="1"/>
  <c r="E233" i="6" s="1"/>
  <c r="E234" i="6" s="1"/>
  <c r="E235" i="6" s="1"/>
  <c r="E236" i="6" s="1"/>
  <c r="E237" i="6" s="1"/>
  <c r="E238" i="6" s="1"/>
  <c r="AY211" i="6"/>
  <c r="AW211" i="6"/>
  <c r="AU210" i="6"/>
  <c r="AT210" i="6"/>
  <c r="AS210" i="6"/>
  <c r="AR210" i="6"/>
  <c r="AQ210" i="6"/>
  <c r="AP210" i="6"/>
  <c r="AO210" i="6"/>
  <c r="V210" i="6"/>
  <c r="S210" i="6"/>
  <c r="N210" i="6"/>
  <c r="M210" i="6"/>
  <c r="K210" i="6"/>
  <c r="I210" i="6"/>
  <c r="G210" i="6"/>
  <c r="AC209" i="6"/>
  <c r="U209" i="6"/>
  <c r="R209" i="6"/>
  <c r="Q209" i="6"/>
  <c r="AC208" i="6"/>
  <c r="AY208" i="6" s="1"/>
  <c r="T208" i="6"/>
  <c r="U208" i="6" s="1"/>
  <c r="R208" i="6"/>
  <c r="O208" i="6"/>
  <c r="O210" i="6" s="1"/>
  <c r="AV207" i="6"/>
  <c r="AW207" i="6" s="1"/>
  <c r="AC207" i="6"/>
  <c r="AY207" i="6" s="1"/>
  <c r="Z207" i="6"/>
  <c r="AK207" i="6" s="1"/>
  <c r="U207" i="6"/>
  <c r="R207" i="6"/>
  <c r="Q207" i="6"/>
  <c r="J207" i="6"/>
  <c r="AV206" i="6"/>
  <c r="AW206" i="6" s="1"/>
  <c r="AC206" i="6"/>
  <c r="AG206" i="6" s="1"/>
  <c r="AL206" i="6" s="1"/>
  <c r="U206" i="6"/>
  <c r="R206" i="6"/>
  <c r="Q206" i="6"/>
  <c r="H206" i="6"/>
  <c r="H210" i="6" s="1"/>
  <c r="AV205" i="6"/>
  <c r="AW205" i="6"/>
  <c r="AC205" i="6"/>
  <c r="U205" i="6"/>
  <c r="R205" i="6"/>
  <c r="Q205" i="6"/>
  <c r="J205" i="6"/>
  <c r="AV204" i="6"/>
  <c r="AC204" i="6"/>
  <c r="AG204" i="6" s="1"/>
  <c r="AL204" i="6" s="1"/>
  <c r="U204" i="6"/>
  <c r="Q204" i="6"/>
  <c r="P204" i="6"/>
  <c r="L204" i="6"/>
  <c r="L210" i="6" s="1"/>
  <c r="E204" i="6"/>
  <c r="E205" i="6"/>
  <c r="E206" i="6" s="1"/>
  <c r="E207" i="6" s="1"/>
  <c r="E208" i="6" s="1"/>
  <c r="E209" i="6" s="1"/>
  <c r="AY203" i="6"/>
  <c r="AW203" i="6"/>
  <c r="AY202" i="6"/>
  <c r="AW202" i="6"/>
  <c r="AU200" i="6"/>
  <c r="AT200" i="6"/>
  <c r="AS200" i="6"/>
  <c r="AR200" i="6"/>
  <c r="AQ200" i="6"/>
  <c r="AP200" i="6"/>
  <c r="AO200" i="6"/>
  <c r="T200" i="6"/>
  <c r="S200" i="6"/>
  <c r="G200" i="6"/>
  <c r="AC199" i="6"/>
  <c r="AY199" i="6"/>
  <c r="R199" i="6"/>
  <c r="Q199" i="6"/>
  <c r="AV198" i="6"/>
  <c r="AW198" i="6"/>
  <c r="AC198" i="6"/>
  <c r="Q198" i="6"/>
  <c r="N198" i="6"/>
  <c r="R198" i="6"/>
  <c r="J198" i="6"/>
  <c r="H198" i="6"/>
  <c r="H200" i="6" s="1"/>
  <c r="AC197" i="6"/>
  <c r="Z197" i="6"/>
  <c r="AK197" i="6" s="1"/>
  <c r="AV196" i="6"/>
  <c r="AC196" i="6"/>
  <c r="Z196" i="6"/>
  <c r="R196" i="6"/>
  <c r="Q196" i="6"/>
  <c r="AV195" i="6"/>
  <c r="V195" i="6"/>
  <c r="U195" i="6"/>
  <c r="U200" i="6" s="1"/>
  <c r="P195" i="6"/>
  <c r="O195" i="6"/>
  <c r="O200" i="6"/>
  <c r="N195" i="6"/>
  <c r="M195" i="6"/>
  <c r="L195" i="6"/>
  <c r="L200" i="6" s="1"/>
  <c r="K195" i="6"/>
  <c r="K200" i="6" s="1"/>
  <c r="I195" i="6"/>
  <c r="E195" i="6"/>
  <c r="E196" i="6" s="1"/>
  <c r="E197" i="6" s="1"/>
  <c r="E198" i="6" s="1"/>
  <c r="E199" i="6" s="1"/>
  <c r="AY194" i="6"/>
  <c r="AW194" i="6"/>
  <c r="AU193" i="6"/>
  <c r="AT193" i="6"/>
  <c r="AS193" i="6"/>
  <c r="AR193" i="6"/>
  <c r="AQ193" i="6"/>
  <c r="AP193" i="6"/>
  <c r="AO193" i="6"/>
  <c r="T193" i="6"/>
  <c r="S193" i="6"/>
  <c r="P193" i="6"/>
  <c r="O193" i="6"/>
  <c r="N193" i="6"/>
  <c r="M193" i="6"/>
  <c r="L193" i="6"/>
  <c r="I193" i="6"/>
  <c r="G193" i="6"/>
  <c r="AV192" i="6"/>
  <c r="U192" i="6"/>
  <c r="R192" i="6"/>
  <c r="Q192" i="6"/>
  <c r="K192" i="6"/>
  <c r="K193" i="6" s="1"/>
  <c r="J192" i="6"/>
  <c r="H192" i="6"/>
  <c r="AC191" i="6"/>
  <c r="AY191" i="6" s="1"/>
  <c r="Z191" i="6"/>
  <c r="AH191" i="6" s="1"/>
  <c r="AM191" i="6" s="1"/>
  <c r="AK191" i="6"/>
  <c r="AV190" i="6"/>
  <c r="AW190" i="6" s="1"/>
  <c r="AC190" i="6"/>
  <c r="U190" i="6"/>
  <c r="R190" i="6"/>
  <c r="Q190" i="6"/>
  <c r="AV189" i="6"/>
  <c r="AC189" i="6"/>
  <c r="Y189" i="6"/>
  <c r="AJ189" i="6" s="1"/>
  <c r="U189" i="6"/>
  <c r="R189" i="6"/>
  <c r="Q189" i="6"/>
  <c r="AV188" i="6"/>
  <c r="AC188" i="6"/>
  <c r="Y188" i="6"/>
  <c r="AJ188" i="6" s="1"/>
  <c r="U188" i="6"/>
  <c r="R188" i="6"/>
  <c r="Q188" i="6"/>
  <c r="AC187" i="6"/>
  <c r="AH187" i="6" s="1"/>
  <c r="AM187" i="6" s="1"/>
  <c r="Z187" i="6"/>
  <c r="AK187" i="6" s="1"/>
  <c r="Y187" i="6"/>
  <c r="AJ187" i="6" s="1"/>
  <c r="R187" i="6"/>
  <c r="Q187" i="6"/>
  <c r="AV186" i="6"/>
  <c r="AC186" i="6"/>
  <c r="U186" i="6"/>
  <c r="R186" i="6"/>
  <c r="Q186" i="6"/>
  <c r="J186" i="6"/>
  <c r="H186" i="6"/>
  <c r="AV185" i="6"/>
  <c r="AC185" i="6"/>
  <c r="AH185" i="6" s="1"/>
  <c r="AM185" i="6" s="1"/>
  <c r="Z185" i="6"/>
  <c r="AK185" i="6" s="1"/>
  <c r="Y185" i="6"/>
  <c r="AJ185" i="6" s="1"/>
  <c r="R185" i="6"/>
  <c r="Q185" i="6"/>
  <c r="AC184" i="6"/>
  <c r="Z184" i="6"/>
  <c r="Y184" i="6"/>
  <c r="AJ184" i="6" s="1"/>
  <c r="AC183" i="6"/>
  <c r="Y183" i="6"/>
  <c r="AJ183" i="6" s="1"/>
  <c r="AC182" i="6"/>
  <c r="Y182" i="6"/>
  <c r="AJ182" i="6" s="1"/>
  <c r="AV181" i="6"/>
  <c r="AC181" i="6"/>
  <c r="Y181" i="6"/>
  <c r="AJ181" i="6" s="1"/>
  <c r="R181" i="6"/>
  <c r="Q181" i="6"/>
  <c r="AC180" i="6"/>
  <c r="AY180" i="6" s="1"/>
  <c r="U180" i="6"/>
  <c r="R180" i="6"/>
  <c r="Q180" i="6"/>
  <c r="AV179" i="6"/>
  <c r="AC179" i="6"/>
  <c r="R179" i="6"/>
  <c r="Q179" i="6"/>
  <c r="AV178" i="6"/>
  <c r="AC178" i="6"/>
  <c r="R178" i="6"/>
  <c r="Q178" i="6"/>
  <c r="H178" i="6"/>
  <c r="AC177" i="6"/>
  <c r="AY177" i="6" s="1"/>
  <c r="Y177" i="6"/>
  <c r="AJ177" i="6" s="1"/>
  <c r="AC176" i="6"/>
  <c r="AY176" i="6"/>
  <c r="R176" i="6"/>
  <c r="Q176" i="6"/>
  <c r="AV175" i="6"/>
  <c r="AC175" i="6"/>
  <c r="AY175" i="6" s="1"/>
  <c r="U175" i="6"/>
  <c r="R175" i="6"/>
  <c r="Q175" i="6"/>
  <c r="AV174" i="6"/>
  <c r="AC174" i="6"/>
  <c r="U174" i="6"/>
  <c r="U193" i="6" s="1"/>
  <c r="R174" i="6"/>
  <c r="Q174" i="6"/>
  <c r="H174" i="6"/>
  <c r="AV173" i="6"/>
  <c r="V173" i="6"/>
  <c r="U173" i="6"/>
  <c r="R173" i="6"/>
  <c r="Q173" i="6"/>
  <c r="J173" i="6"/>
  <c r="H173" i="6"/>
  <c r="AV172" i="6"/>
  <c r="AC172" i="6"/>
  <c r="AY172" i="6" s="1"/>
  <c r="U172" i="6"/>
  <c r="R172" i="6"/>
  <c r="Q172" i="6"/>
  <c r="E172" i="6"/>
  <c r="E173" i="6" s="1"/>
  <c r="E174" i="6" s="1"/>
  <c r="E175" i="6" s="1"/>
  <c r="E176" i="6" s="1"/>
  <c r="E177" i="6" s="1"/>
  <c r="E178" i="6" s="1"/>
  <c r="E179" i="6" s="1"/>
  <c r="E180" i="6" s="1"/>
  <c r="E181" i="6" s="1"/>
  <c r="E182" i="6" s="1"/>
  <c r="E183" i="6" s="1"/>
  <c r="E184" i="6" s="1"/>
  <c r="E185" i="6" s="1"/>
  <c r="E186" i="6" s="1"/>
  <c r="E187" i="6" s="1"/>
  <c r="E188" i="6" s="1"/>
  <c r="E189" i="6" s="1"/>
  <c r="E190" i="6" s="1"/>
  <c r="E191" i="6" s="1"/>
  <c r="E192" i="6" s="1"/>
  <c r="AY171" i="6"/>
  <c r="AW171" i="6"/>
  <c r="AU169" i="6"/>
  <c r="AT169" i="6"/>
  <c r="AS169" i="6"/>
  <c r="AR169" i="6"/>
  <c r="AQ169" i="6"/>
  <c r="AP169" i="6"/>
  <c r="AO169" i="6"/>
  <c r="V169" i="6"/>
  <c r="T169" i="6"/>
  <c r="S169" i="6"/>
  <c r="P169" i="6"/>
  <c r="O169" i="6"/>
  <c r="M169" i="6"/>
  <c r="L169" i="6"/>
  <c r="K169" i="6"/>
  <c r="I169" i="6"/>
  <c r="G169" i="6"/>
  <c r="AV168" i="6"/>
  <c r="AW168" i="6" s="1"/>
  <c r="AC168" i="6"/>
  <c r="AY168" i="6" s="1"/>
  <c r="R168" i="6"/>
  <c r="Q168" i="6"/>
  <c r="H168" i="6"/>
  <c r="W167" i="6"/>
  <c r="U167" i="6"/>
  <c r="R167" i="6"/>
  <c r="Q167" i="6"/>
  <c r="AV166" i="6"/>
  <c r="AW166" i="6" s="1"/>
  <c r="AC166" i="6"/>
  <c r="AY166" i="6" s="1"/>
  <c r="U166" i="6"/>
  <c r="R166" i="6"/>
  <c r="Q166" i="6"/>
  <c r="J166" i="6"/>
  <c r="J169" i="6" s="1"/>
  <c r="AV165" i="6"/>
  <c r="AW165" i="6"/>
  <c r="AC165" i="6"/>
  <c r="AY165" i="6" s="1"/>
  <c r="U165" i="6"/>
  <c r="U169" i="6" s="1"/>
  <c r="Q165" i="6"/>
  <c r="N165" i="6"/>
  <c r="H165" i="6"/>
  <c r="H169" i="6" s="1"/>
  <c r="AV164" i="6"/>
  <c r="AW164" i="6" s="1"/>
  <c r="AC164" i="6"/>
  <c r="AY164" i="6" s="1"/>
  <c r="X164" i="6"/>
  <c r="R164" i="6"/>
  <c r="Q164" i="6"/>
  <c r="E164" i="6"/>
  <c r="E165" i="6" s="1"/>
  <c r="E166" i="6" s="1"/>
  <c r="E167" i="6" s="1"/>
  <c r="E168" i="6" s="1"/>
  <c r="AY163" i="6"/>
  <c r="AW163" i="6"/>
  <c r="V162" i="6"/>
  <c r="S162" i="6"/>
  <c r="P162" i="6"/>
  <c r="O162" i="6"/>
  <c r="M162" i="6"/>
  <c r="L162" i="6"/>
  <c r="K162" i="6"/>
  <c r="J162" i="6"/>
  <c r="I162" i="6"/>
  <c r="H162" i="6"/>
  <c r="G162" i="6"/>
  <c r="AV161" i="6"/>
  <c r="AC161" i="6"/>
  <c r="AY161" i="6" s="1"/>
  <c r="R161" i="6"/>
  <c r="Q161" i="6"/>
  <c r="Q162" i="6" s="1"/>
  <c r="AV160" i="6"/>
  <c r="AW160" i="6" s="1"/>
  <c r="AC160" i="6"/>
  <c r="AY160" i="6" s="1"/>
  <c r="U160" i="6"/>
  <c r="U162" i="6" s="1"/>
  <c r="Q160" i="6"/>
  <c r="N160" i="6"/>
  <c r="AV159" i="6"/>
  <c r="AC159" i="6"/>
  <c r="X159" i="6"/>
  <c r="AI159" i="6" s="1"/>
  <c r="T159" i="6"/>
  <c r="T162" i="6" s="1"/>
  <c r="R159" i="6"/>
  <c r="Q159" i="6"/>
  <c r="E159" i="6"/>
  <c r="E160" i="6" s="1"/>
  <c r="E161" i="6" s="1"/>
  <c r="AY158" i="6"/>
  <c r="AW158" i="6"/>
  <c r="AU157" i="6"/>
  <c r="AT157" i="6"/>
  <c r="AS157" i="6"/>
  <c r="AR157" i="6"/>
  <c r="AQ157" i="6"/>
  <c r="AP157" i="6"/>
  <c r="AO157" i="6"/>
  <c r="V157" i="6"/>
  <c r="U157" i="6"/>
  <c r="S157" i="6"/>
  <c r="P157" i="6"/>
  <c r="O157" i="6"/>
  <c r="N157" i="6"/>
  <c r="M157" i="6"/>
  <c r="L157" i="6"/>
  <c r="J157" i="6"/>
  <c r="I157" i="6"/>
  <c r="H157" i="6"/>
  <c r="G157" i="6"/>
  <c r="AV156" i="6"/>
  <c r="AC156" i="6"/>
  <c r="X156" i="6"/>
  <c r="X157" i="6" s="1"/>
  <c r="X16" i="8" s="1"/>
  <c r="T156" i="6"/>
  <c r="T157" i="6" s="1"/>
  <c r="R156" i="6"/>
  <c r="R157" i="6" s="1"/>
  <c r="Q156" i="6"/>
  <c r="Q157" i="6" s="1"/>
  <c r="K156" i="6"/>
  <c r="K157" i="6" s="1"/>
  <c r="E156" i="6"/>
  <c r="AY155" i="6"/>
  <c r="AW155" i="6"/>
  <c r="AU154" i="6"/>
  <c r="AT154" i="6"/>
  <c r="AS154" i="6"/>
  <c r="AR154" i="6"/>
  <c r="AQ154" i="6"/>
  <c r="AP154" i="6"/>
  <c r="AO154" i="6"/>
  <c r="V154" i="6"/>
  <c r="T154" i="6"/>
  <c r="S154" i="6"/>
  <c r="O154" i="6"/>
  <c r="N154" i="6"/>
  <c r="M154" i="6"/>
  <c r="I154" i="6"/>
  <c r="G154" i="6"/>
  <c r="AC153" i="6"/>
  <c r="AY153" i="6" s="1"/>
  <c r="Y153" i="6"/>
  <c r="AJ153" i="6" s="1"/>
  <c r="R153" i="6"/>
  <c r="Q153" i="6"/>
  <c r="AV152" i="6"/>
  <c r="AW152" i="6" s="1"/>
  <c r="AC152" i="6"/>
  <c r="AY152" i="6" s="1"/>
  <c r="U152" i="6"/>
  <c r="R152" i="6"/>
  <c r="Q152" i="6"/>
  <c r="L152" i="6"/>
  <c r="K152" i="6"/>
  <c r="H152" i="6"/>
  <c r="AV151" i="6"/>
  <c r="AW151" i="6" s="1"/>
  <c r="AC151" i="6"/>
  <c r="AY151" i="6" s="1"/>
  <c r="U151" i="6"/>
  <c r="R151" i="6"/>
  <c r="Q151" i="6"/>
  <c r="L151" i="6"/>
  <c r="J151" i="6"/>
  <c r="AV150" i="6"/>
  <c r="AC150" i="6"/>
  <c r="U150" i="6"/>
  <c r="R150" i="6"/>
  <c r="Q150" i="6"/>
  <c r="J150" i="6"/>
  <c r="H150" i="6"/>
  <c r="H154" i="6" s="1"/>
  <c r="AV149" i="6"/>
  <c r="AW149" i="6" s="1"/>
  <c r="AC149" i="6"/>
  <c r="AY149" i="6" s="1"/>
  <c r="AG149" i="6"/>
  <c r="Q149" i="6"/>
  <c r="P149" i="6"/>
  <c r="R149" i="6" s="1"/>
  <c r="J149" i="6"/>
  <c r="AV148" i="6"/>
  <c r="AW148" i="6"/>
  <c r="AC148" i="6"/>
  <c r="U148" i="6"/>
  <c r="R148" i="6"/>
  <c r="Q148" i="6"/>
  <c r="J148" i="6"/>
  <c r="AV147" i="6"/>
  <c r="AW147" i="6" s="1"/>
  <c r="AC147" i="6"/>
  <c r="AY147" i="6" s="1"/>
  <c r="U147" i="6"/>
  <c r="R147" i="6"/>
  <c r="Q147" i="6"/>
  <c r="K147" i="6"/>
  <c r="E147" i="6"/>
  <c r="E148" i="6" s="1"/>
  <c r="E149" i="6" s="1"/>
  <c r="E150" i="6" s="1"/>
  <c r="E151" i="6" s="1"/>
  <c r="E152" i="6" s="1"/>
  <c r="E153" i="6" s="1"/>
  <c r="AY146" i="6"/>
  <c r="AW146" i="6"/>
  <c r="AU145" i="6"/>
  <c r="AT145" i="6"/>
  <c r="AS145" i="6"/>
  <c r="AR145" i="6"/>
  <c r="AQ145" i="6"/>
  <c r="AP145" i="6"/>
  <c r="AO145" i="6"/>
  <c r="V145" i="6"/>
  <c r="S145" i="6"/>
  <c r="P145" i="6"/>
  <c r="O145" i="6"/>
  <c r="W144" i="6"/>
  <c r="R144" i="6"/>
  <c r="Q144" i="6"/>
  <c r="AV143" i="6"/>
  <c r="AC143" i="6"/>
  <c r="AY143" i="6"/>
  <c r="X143" i="6"/>
  <c r="AI143" i="6" s="1"/>
  <c r="T143" i="6"/>
  <c r="R143" i="6"/>
  <c r="Q143" i="6"/>
  <c r="AV142" i="6"/>
  <c r="AW142" i="6" s="1"/>
  <c r="AC142" i="6"/>
  <c r="U142" i="6"/>
  <c r="Q142" i="6"/>
  <c r="N142" i="6"/>
  <c r="R142" i="6" s="1"/>
  <c r="H142" i="6"/>
  <c r="AV141" i="6"/>
  <c r="AW141" i="6" s="1"/>
  <c r="AC141" i="6"/>
  <c r="AY141" i="6" s="1"/>
  <c r="U141" i="6"/>
  <c r="R141" i="6"/>
  <c r="Q141" i="6"/>
  <c r="J141" i="6"/>
  <c r="AV140" i="6"/>
  <c r="AW140" i="6" s="1"/>
  <c r="W140" i="6"/>
  <c r="U140" i="6"/>
  <c r="R140" i="6"/>
  <c r="Q140" i="6"/>
  <c r="L140" i="6"/>
  <c r="K140" i="6"/>
  <c r="AV139" i="6"/>
  <c r="AW139" i="6" s="1"/>
  <c r="AC139" i="6"/>
  <c r="AY139" i="6" s="1"/>
  <c r="U139" i="6"/>
  <c r="R139" i="6"/>
  <c r="Q139" i="6"/>
  <c r="K139" i="6"/>
  <c r="J139" i="6"/>
  <c r="H139" i="6"/>
  <c r="AV138" i="6"/>
  <c r="AW138" i="6" s="1"/>
  <c r="AC138" i="6"/>
  <c r="AY138" i="6" s="1"/>
  <c r="U138" i="6"/>
  <c r="R138" i="6"/>
  <c r="Q138" i="6"/>
  <c r="H138" i="6"/>
  <c r="AC137" i="6"/>
  <c r="U137" i="6"/>
  <c r="R137" i="6"/>
  <c r="Q137" i="6"/>
  <c r="AV136" i="6"/>
  <c r="AW136" i="6" s="1"/>
  <c r="AC136" i="6"/>
  <c r="AY136" i="6" s="1"/>
  <c r="AG136" i="6"/>
  <c r="AL136" i="6" s="1"/>
  <c r="AN136" i="6" s="1"/>
  <c r="U136" i="6"/>
  <c r="R136" i="6"/>
  <c r="Q136" i="6"/>
  <c r="J136" i="6"/>
  <c r="H136" i="6"/>
  <c r="AV135" i="6"/>
  <c r="AC135" i="6"/>
  <c r="AY135" i="6" s="1"/>
  <c r="U135" i="6"/>
  <c r="Q135" i="6"/>
  <c r="N135" i="6"/>
  <c r="R135" i="6" s="1"/>
  <c r="J135" i="6"/>
  <c r="H135" i="6"/>
  <c r="AV134" i="6"/>
  <c r="AW134" i="6" s="1"/>
  <c r="AC134" i="6"/>
  <c r="U134" i="6"/>
  <c r="N134" i="6"/>
  <c r="R134" i="6" s="1"/>
  <c r="M134" i="6"/>
  <c r="Q134" i="6" s="1"/>
  <c r="M145" i="6"/>
  <c r="L134" i="6"/>
  <c r="K134" i="6"/>
  <c r="I134" i="6"/>
  <c r="J134" i="6" s="1"/>
  <c r="I145" i="6"/>
  <c r="G134" i="6"/>
  <c r="AV133" i="6"/>
  <c r="AW133" i="6" s="1"/>
  <c r="AC133" i="6"/>
  <c r="U133" i="6"/>
  <c r="R133" i="6"/>
  <c r="Q133" i="6"/>
  <c r="AV132" i="6"/>
  <c r="AW132" i="6"/>
  <c r="AC132" i="6"/>
  <c r="AY132" i="6"/>
  <c r="U132" i="6"/>
  <c r="R132" i="6"/>
  <c r="Q132" i="6"/>
  <c r="J132" i="6"/>
  <c r="H132" i="6"/>
  <c r="AV131" i="6"/>
  <c r="AW131" i="6" s="1"/>
  <c r="W131" i="6"/>
  <c r="U131" i="6"/>
  <c r="R131" i="6"/>
  <c r="Q131" i="6"/>
  <c r="L131" i="6"/>
  <c r="J131" i="6"/>
  <c r="AV130" i="6"/>
  <c r="AW130" i="6" s="1"/>
  <c r="AC130" i="6"/>
  <c r="AY130" i="6" s="1"/>
  <c r="X130" i="6"/>
  <c r="T130" i="6"/>
  <c r="Q130" i="6"/>
  <c r="N130" i="6"/>
  <c r="K130" i="6"/>
  <c r="AV129" i="6"/>
  <c r="AW129" i="6" s="1"/>
  <c r="AC129" i="6"/>
  <c r="U129" i="6"/>
  <c r="R129" i="6"/>
  <c r="Q129" i="6"/>
  <c r="J129" i="6"/>
  <c r="E129" i="6"/>
  <c r="E130" i="6"/>
  <c r="E131" i="6" s="1"/>
  <c r="E132" i="6" s="1"/>
  <c r="E133" i="6" s="1"/>
  <c r="E134" i="6" s="1"/>
  <c r="E135" i="6" s="1"/>
  <c r="E136" i="6" s="1"/>
  <c r="E137" i="6"/>
  <c r="E138" i="6" s="1"/>
  <c r="E139" i="6" s="1"/>
  <c r="E140" i="6" s="1"/>
  <c r="E141" i="6" s="1"/>
  <c r="E142" i="6" s="1"/>
  <c r="E143" i="6" s="1"/>
  <c r="E144" i="6" s="1"/>
  <c r="AY128" i="6"/>
  <c r="AW128" i="6"/>
  <c r="AU127" i="6"/>
  <c r="AT127" i="6"/>
  <c r="AS127" i="6"/>
  <c r="AR127" i="6"/>
  <c r="AQ127" i="6"/>
  <c r="AP127" i="6"/>
  <c r="AO127" i="6"/>
  <c r="V127" i="6"/>
  <c r="T127" i="6"/>
  <c r="S127" i="6"/>
  <c r="P127" i="6"/>
  <c r="O127" i="6"/>
  <c r="N127" i="6"/>
  <c r="M127" i="6"/>
  <c r="I127" i="6"/>
  <c r="G127" i="6"/>
  <c r="AC126" i="6"/>
  <c r="U126" i="6"/>
  <c r="R126" i="6"/>
  <c r="Q126" i="6"/>
  <c r="AV125" i="6"/>
  <c r="AC125" i="6"/>
  <c r="AY125" i="6"/>
  <c r="Z125" i="6"/>
  <c r="U125" i="6"/>
  <c r="R125" i="6"/>
  <c r="Q125" i="6"/>
  <c r="K125" i="6"/>
  <c r="AC124" i="6"/>
  <c r="Z124" i="6"/>
  <c r="AK124" i="6"/>
  <c r="U124" i="6"/>
  <c r="R124" i="6"/>
  <c r="Q124" i="6"/>
  <c r="AV123" i="6"/>
  <c r="AW123" i="6" s="1"/>
  <c r="AC123" i="6"/>
  <c r="AY123" i="6"/>
  <c r="U123" i="6"/>
  <c r="R123" i="6"/>
  <c r="Q123" i="6"/>
  <c r="J123" i="6"/>
  <c r="AV122" i="6"/>
  <c r="AW122" i="6" s="1"/>
  <c r="AC122" i="6"/>
  <c r="AG122" i="6" s="1"/>
  <c r="AL122" i="6" s="1"/>
  <c r="Y122" i="6"/>
  <c r="U122" i="6"/>
  <c r="R122" i="6"/>
  <c r="Q122" i="6"/>
  <c r="L122" i="6"/>
  <c r="AC121" i="6"/>
  <c r="AY121" i="6" s="1"/>
  <c r="R121" i="6"/>
  <c r="Q121" i="6"/>
  <c r="AV120" i="6"/>
  <c r="AW120" i="6" s="1"/>
  <c r="AC120" i="6"/>
  <c r="AY120" i="6" s="1"/>
  <c r="U120" i="6"/>
  <c r="R120" i="6"/>
  <c r="Q120" i="6"/>
  <c r="L120" i="6"/>
  <c r="K120" i="6"/>
  <c r="K127" i="6" s="1"/>
  <c r="AV119" i="6"/>
  <c r="AW119" i="6" s="1"/>
  <c r="AC119" i="6"/>
  <c r="U119" i="6"/>
  <c r="R119" i="6"/>
  <c r="Q119" i="6"/>
  <c r="AV118" i="6"/>
  <c r="AW118" i="6" s="1"/>
  <c r="AC118" i="6"/>
  <c r="U118" i="6"/>
  <c r="R118" i="6"/>
  <c r="Q118" i="6"/>
  <c r="J118" i="6"/>
  <c r="H118" i="6"/>
  <c r="H127" i="6" s="1"/>
  <c r="AV117" i="6"/>
  <c r="AW117" i="6" s="1"/>
  <c r="AC117" i="6"/>
  <c r="AY117" i="6" s="1"/>
  <c r="U117" i="6"/>
  <c r="R117" i="6"/>
  <c r="Q117" i="6"/>
  <c r="J117" i="6"/>
  <c r="AC116" i="6"/>
  <c r="AV115" i="6"/>
  <c r="AW115" i="6" s="1"/>
  <c r="AC115" i="6"/>
  <c r="AY115" i="6" s="1"/>
  <c r="Z115" i="6"/>
  <c r="AK115" i="6" s="1"/>
  <c r="U115" i="6"/>
  <c r="R115" i="6"/>
  <c r="Q115" i="6"/>
  <c r="AV114" i="6"/>
  <c r="AW114" i="6" s="1"/>
  <c r="AC114" i="6"/>
  <c r="AY114" i="6" s="1"/>
  <c r="U114" i="6"/>
  <c r="R114" i="6"/>
  <c r="Q114" i="6"/>
  <c r="J114" i="6"/>
  <c r="E114" i="6"/>
  <c r="E115" i="6" s="1"/>
  <c r="E116" i="6" s="1"/>
  <c r="E117" i="6" s="1"/>
  <c r="E118" i="6" s="1"/>
  <c r="E119" i="6" s="1"/>
  <c r="E120" i="6" s="1"/>
  <c r="E121" i="6" s="1"/>
  <c r="E122" i="6" s="1"/>
  <c r="E123" i="6" s="1"/>
  <c r="E124" i="6" s="1"/>
  <c r="E125" i="6" s="1"/>
  <c r="E126" i="6" s="1"/>
  <c r="AY113" i="6"/>
  <c r="AW113" i="6"/>
  <c r="AU112" i="6"/>
  <c r="AT112" i="6"/>
  <c r="AS112" i="6"/>
  <c r="AR112" i="6"/>
  <c r="AQ112" i="6"/>
  <c r="AP112" i="6"/>
  <c r="AO112" i="6"/>
  <c r="V112" i="6"/>
  <c r="T112" i="6"/>
  <c r="S112" i="6"/>
  <c r="P112" i="6"/>
  <c r="O112" i="6"/>
  <c r="N112" i="6"/>
  <c r="M112" i="6"/>
  <c r="K112" i="6"/>
  <c r="I112" i="6"/>
  <c r="G112" i="6"/>
  <c r="AV111" i="6"/>
  <c r="AW111" i="6" s="1"/>
  <c r="AC111" i="6"/>
  <c r="U111" i="6"/>
  <c r="R111" i="6"/>
  <c r="Q111" i="6"/>
  <c r="L111" i="6"/>
  <c r="AV110" i="6"/>
  <c r="AW110" i="6" s="1"/>
  <c r="AC110" i="6"/>
  <c r="AY110" i="6" s="1"/>
  <c r="U110" i="6"/>
  <c r="R110" i="6"/>
  <c r="Q110" i="6"/>
  <c r="J110" i="6"/>
  <c r="H110" i="6"/>
  <c r="AV109" i="6"/>
  <c r="AW109" i="6" s="1"/>
  <c r="AC109" i="6"/>
  <c r="AY109" i="6" s="1"/>
  <c r="U109" i="6"/>
  <c r="R109" i="6"/>
  <c r="Q109" i="6"/>
  <c r="J109" i="6"/>
  <c r="H109" i="6"/>
  <c r="AV108" i="6"/>
  <c r="AW108" i="6" s="1"/>
  <c r="AC108" i="6"/>
  <c r="U108" i="6"/>
  <c r="R108" i="6"/>
  <c r="Q108" i="6"/>
  <c r="J108" i="6"/>
  <c r="AV107" i="6"/>
  <c r="W107" i="6"/>
  <c r="U107" i="6"/>
  <c r="R107" i="6"/>
  <c r="Q107" i="6"/>
  <c r="L107" i="6"/>
  <c r="L112" i="6" s="1"/>
  <c r="E107" i="6"/>
  <c r="E108" i="6" s="1"/>
  <c r="E109" i="6" s="1"/>
  <c r="E110" i="6" s="1"/>
  <c r="E111" i="6" s="1"/>
  <c r="AY106" i="6"/>
  <c r="AW106" i="6"/>
  <c r="AY105" i="6"/>
  <c r="AW105" i="6"/>
  <c r="AY104" i="6"/>
  <c r="AW104" i="6"/>
  <c r="AU102" i="6"/>
  <c r="AT102" i="6"/>
  <c r="AS102" i="6"/>
  <c r="AR102" i="6"/>
  <c r="AQ102" i="6"/>
  <c r="AP102" i="6"/>
  <c r="AO102" i="6"/>
  <c r="V102" i="6"/>
  <c r="S102" i="6"/>
  <c r="P102" i="6"/>
  <c r="O102" i="6"/>
  <c r="M102" i="6"/>
  <c r="I102" i="6"/>
  <c r="H102" i="6"/>
  <c r="G102" i="6"/>
  <c r="AC101" i="6"/>
  <c r="AY101" i="6" s="1"/>
  <c r="Z101" i="6"/>
  <c r="AK101" i="6" s="1"/>
  <c r="AV100" i="6"/>
  <c r="AC100" i="6"/>
  <c r="AY100" i="6" s="1"/>
  <c r="U100" i="6"/>
  <c r="R100" i="6"/>
  <c r="Q100" i="6"/>
  <c r="AC99" i="6"/>
  <c r="AY99" i="6" s="1"/>
  <c r="X99" i="6"/>
  <c r="AI99" i="6" s="1"/>
  <c r="T99" i="6"/>
  <c r="T102" i="6" s="1"/>
  <c r="Q99" i="6"/>
  <c r="N99" i="6"/>
  <c r="R99" i="6" s="1"/>
  <c r="L99" i="6"/>
  <c r="AV98" i="6"/>
  <c r="AW98" i="6" s="1"/>
  <c r="AC98" i="6"/>
  <c r="AY98" i="6" s="1"/>
  <c r="U98" i="6"/>
  <c r="R98" i="6"/>
  <c r="Q98" i="6"/>
  <c r="AV97" i="6"/>
  <c r="AW97" i="6" s="1"/>
  <c r="AC97" i="6"/>
  <c r="U97" i="6"/>
  <c r="Q97" i="6"/>
  <c r="N97" i="6"/>
  <c r="R97" i="6" s="1"/>
  <c r="L97" i="6"/>
  <c r="AC96" i="6"/>
  <c r="AY96" i="6" s="1"/>
  <c r="Z96" i="6"/>
  <c r="R96" i="6"/>
  <c r="Q96" i="6"/>
  <c r="AV95" i="6"/>
  <c r="AW95" i="6" s="1"/>
  <c r="AC95" i="6"/>
  <c r="AY95" i="6" s="1"/>
  <c r="U95" i="6"/>
  <c r="R95" i="6"/>
  <c r="Q95" i="6"/>
  <c r="AV94" i="6"/>
  <c r="AW94" i="6" s="1"/>
  <c r="AC94" i="6"/>
  <c r="R94" i="6"/>
  <c r="Q94" i="6"/>
  <c r="L94" i="6"/>
  <c r="K94" i="6"/>
  <c r="K102" i="6"/>
  <c r="AV93" i="6"/>
  <c r="AW93" i="6" s="1"/>
  <c r="AC93" i="6"/>
  <c r="AY93" i="6" s="1"/>
  <c r="Z93" i="6"/>
  <c r="AK93" i="6"/>
  <c r="AH93" i="6"/>
  <c r="AM93" i="6" s="1"/>
  <c r="U93" i="6"/>
  <c r="R93" i="6"/>
  <c r="Q93" i="6"/>
  <c r="L93" i="6"/>
  <c r="AV92" i="6"/>
  <c r="AW92" i="6" s="1"/>
  <c r="AC92" i="6"/>
  <c r="Z92" i="6"/>
  <c r="AK92" i="6" s="1"/>
  <c r="U92" i="6"/>
  <c r="R92" i="6"/>
  <c r="Q92" i="6"/>
  <c r="AV91" i="6"/>
  <c r="AW91" i="6" s="1"/>
  <c r="AC91" i="6"/>
  <c r="AY91" i="6" s="1"/>
  <c r="U91" i="6"/>
  <c r="R91" i="6"/>
  <c r="Q91" i="6"/>
  <c r="AV90" i="6"/>
  <c r="AW90" i="6" s="1"/>
  <c r="AC90" i="6"/>
  <c r="R90" i="6"/>
  <c r="Q90" i="6"/>
  <c r="L90" i="6"/>
  <c r="AV89" i="6"/>
  <c r="AW89" i="6" s="1"/>
  <c r="AC89" i="6"/>
  <c r="AG89" i="6"/>
  <c r="U89" i="6"/>
  <c r="R89" i="6"/>
  <c r="Q89" i="6"/>
  <c r="AV88" i="6"/>
  <c r="AW88" i="6" s="1"/>
  <c r="AC88" i="6"/>
  <c r="AY88" i="6" s="1"/>
  <c r="U88" i="6"/>
  <c r="R88" i="6"/>
  <c r="Q88" i="6"/>
  <c r="J88" i="6"/>
  <c r="J102" i="6" s="1"/>
  <c r="AV87" i="6"/>
  <c r="AW87" i="6" s="1"/>
  <c r="AC87" i="6"/>
  <c r="U87" i="6"/>
  <c r="Q87" i="6"/>
  <c r="N87" i="6"/>
  <c r="E87" i="6"/>
  <c r="E88" i="6" s="1"/>
  <c r="E89" i="6" s="1"/>
  <c r="E90" i="6" s="1"/>
  <c r="E91" i="6" s="1"/>
  <c r="E92" i="6" s="1"/>
  <c r="E93" i="6" s="1"/>
  <c r="E94" i="6" s="1"/>
  <c r="E95" i="6" s="1"/>
  <c r="E96" i="6" s="1"/>
  <c r="E97" i="6" s="1"/>
  <c r="E98" i="6" s="1"/>
  <c r="E99" i="6" s="1"/>
  <c r="E100" i="6" s="1"/>
  <c r="E101" i="6" s="1"/>
  <c r="AY86" i="6"/>
  <c r="AW86" i="6"/>
  <c r="AU85" i="6"/>
  <c r="AT85" i="6"/>
  <c r="AS85" i="6"/>
  <c r="AR85" i="6"/>
  <c r="AQ85" i="6"/>
  <c r="AP85" i="6"/>
  <c r="AO85" i="6"/>
  <c r="V85" i="6"/>
  <c r="T85" i="6"/>
  <c r="S85" i="6"/>
  <c r="P85" i="6"/>
  <c r="O85" i="6"/>
  <c r="N85" i="6"/>
  <c r="M85" i="6"/>
  <c r="L85" i="6"/>
  <c r="K85" i="6"/>
  <c r="I85" i="6"/>
  <c r="H85" i="6"/>
  <c r="G85" i="6"/>
  <c r="G103" i="6" s="1"/>
  <c r="AC84" i="6"/>
  <c r="AE84" i="6" s="1"/>
  <c r="AJ84" i="6" s="1"/>
  <c r="Z84" i="6"/>
  <c r="AK84" i="6" s="1"/>
  <c r="AC83" i="6"/>
  <c r="AF83" i="6" s="1"/>
  <c r="Z83" i="6"/>
  <c r="AC82" i="6"/>
  <c r="AE82" i="6" s="1"/>
  <c r="AJ82" i="6" s="1"/>
  <c r="Z82" i="6"/>
  <c r="AK82" i="6" s="1"/>
  <c r="W81" i="6"/>
  <c r="AC80" i="6"/>
  <c r="AF80" i="6" s="1"/>
  <c r="AK80" i="6" s="1"/>
  <c r="AC79" i="6"/>
  <c r="Z79" i="6"/>
  <c r="Y79" i="6"/>
  <c r="AC78" i="6"/>
  <c r="AF78" i="6" s="1"/>
  <c r="AK78" i="6" s="1"/>
  <c r="AC77" i="6"/>
  <c r="AE77" i="6" s="1"/>
  <c r="AJ77" i="6" s="1"/>
  <c r="Z77" i="6"/>
  <c r="Y77" i="6"/>
  <c r="Y85" i="6" s="1"/>
  <c r="Y9" i="8" s="1"/>
  <c r="AC76" i="6"/>
  <c r="AF76" i="6" s="1"/>
  <c r="Z76" i="6"/>
  <c r="U76" i="6"/>
  <c r="R76" i="6"/>
  <c r="Q76" i="6"/>
  <c r="AC75" i="6"/>
  <c r="Z75" i="6"/>
  <c r="R75" i="6"/>
  <c r="R85" i="6" s="1"/>
  <c r="Q75" i="6"/>
  <c r="AC74" i="6"/>
  <c r="AE74" i="6" s="1"/>
  <c r="AJ74" i="6" s="1"/>
  <c r="Z74" i="6"/>
  <c r="AK74" i="6" s="1"/>
  <c r="R74" i="6"/>
  <c r="Q74" i="6"/>
  <c r="AV73" i="6"/>
  <c r="AV85" i="6" s="1"/>
  <c r="AC73" i="6"/>
  <c r="Z73" i="6"/>
  <c r="U73" i="6"/>
  <c r="R73" i="6"/>
  <c r="Q73" i="6"/>
  <c r="J73" i="6"/>
  <c r="J85" i="6"/>
  <c r="E73" i="6"/>
  <c r="E74" i="6" s="1"/>
  <c r="E75" i="6" s="1"/>
  <c r="E76" i="6" s="1"/>
  <c r="E77" i="6" s="1"/>
  <c r="E78" i="6" s="1"/>
  <c r="E79" i="6" s="1"/>
  <c r="E80" i="6" s="1"/>
  <c r="E81" i="6" s="1"/>
  <c r="E82" i="6" s="1"/>
  <c r="E83" i="6" s="1"/>
  <c r="E84" i="6" s="1"/>
  <c r="AY72" i="6"/>
  <c r="AW72" i="6"/>
  <c r="AN72" i="6"/>
  <c r="AU71" i="6"/>
  <c r="AT71" i="6"/>
  <c r="AS71" i="6"/>
  <c r="AR71" i="6"/>
  <c r="AQ71" i="6"/>
  <c r="AP71" i="6"/>
  <c r="AP103" i="6" s="1"/>
  <c r="AP5" i="7" s="1"/>
  <c r="AO71" i="6"/>
  <c r="V71" i="6"/>
  <c r="S71" i="6"/>
  <c r="P71" i="6"/>
  <c r="O71" i="6"/>
  <c r="N71" i="6"/>
  <c r="M71" i="6"/>
  <c r="L71" i="6"/>
  <c r="K71" i="6"/>
  <c r="I71" i="6"/>
  <c r="H71" i="6"/>
  <c r="G71" i="6"/>
  <c r="AC70" i="6"/>
  <c r="R70" i="6"/>
  <c r="Q70" i="6"/>
  <c r="AV69" i="6"/>
  <c r="AC69" i="6"/>
  <c r="AC71" i="6" s="1"/>
  <c r="AC8" i="8" s="1"/>
  <c r="T69" i="6"/>
  <c r="U69" i="6" s="1"/>
  <c r="U71" i="6" s="1"/>
  <c r="R69" i="6"/>
  <c r="R71" i="6" s="1"/>
  <c r="Q69" i="6"/>
  <c r="Q71" i="6" s="1"/>
  <c r="J69" i="6"/>
  <c r="J71" i="6" s="1"/>
  <c r="E69" i="6"/>
  <c r="E70" i="6"/>
  <c r="AY68" i="6"/>
  <c r="AW68" i="6"/>
  <c r="AU67" i="6"/>
  <c r="AT67" i="6"/>
  <c r="AS67" i="6"/>
  <c r="AR67" i="6"/>
  <c r="AQ67" i="6"/>
  <c r="AP67" i="6"/>
  <c r="AO67" i="6"/>
  <c r="AO103" i="6" s="1"/>
  <c r="AO5" i="7" s="1"/>
  <c r="V67" i="6"/>
  <c r="T67" i="6"/>
  <c r="S67" i="6"/>
  <c r="P67" i="6"/>
  <c r="O67" i="6"/>
  <c r="N67" i="6"/>
  <c r="M67" i="6"/>
  <c r="K67" i="6"/>
  <c r="I67" i="6"/>
  <c r="G67" i="6"/>
  <c r="AC66" i="6"/>
  <c r="AC65" i="6"/>
  <c r="AE65" i="6"/>
  <c r="AJ65" i="6" s="1"/>
  <c r="Z65" i="6"/>
  <c r="AK65" i="6"/>
  <c r="AC64" i="6"/>
  <c r="AF64" i="6" s="1"/>
  <c r="AK64" i="6" s="1"/>
  <c r="AC63" i="6"/>
  <c r="AF63" i="6" s="1"/>
  <c r="Z63" i="6"/>
  <c r="AC62" i="6"/>
  <c r="AE62" i="6"/>
  <c r="AG67" i="6"/>
  <c r="AG7" i="8"/>
  <c r="Y62" i="6"/>
  <c r="AC61" i="6"/>
  <c r="AC60" i="6"/>
  <c r="AE60" i="6" s="1"/>
  <c r="AJ60" i="6"/>
  <c r="Z60" i="6"/>
  <c r="AK60" i="6"/>
  <c r="AC59" i="6"/>
  <c r="AE59" i="6"/>
  <c r="AJ59" i="6" s="1"/>
  <c r="Z59" i="6"/>
  <c r="AK59" i="6" s="1"/>
  <c r="AC58" i="6"/>
  <c r="Z58" i="6"/>
  <c r="AK58" i="6"/>
  <c r="AC57" i="6"/>
  <c r="AC56" i="6"/>
  <c r="AF56" i="6" s="1"/>
  <c r="Z56" i="6"/>
  <c r="AC55" i="6"/>
  <c r="AF55" i="6" s="1"/>
  <c r="AK55" i="6" s="1"/>
  <c r="AN55" i="6" s="1"/>
  <c r="Z55" i="6"/>
  <c r="AC54" i="6"/>
  <c r="AF54" i="6"/>
  <c r="Z54" i="6"/>
  <c r="AC53" i="6"/>
  <c r="AE53" i="6" s="1"/>
  <c r="AJ53" i="6" s="1"/>
  <c r="Z53" i="6"/>
  <c r="AK53" i="6" s="1"/>
  <c r="AC52" i="6"/>
  <c r="U52" i="6"/>
  <c r="R52" i="6"/>
  <c r="Q52" i="6"/>
  <c r="AC51" i="6"/>
  <c r="AC50" i="6"/>
  <c r="AF50" i="6" s="1"/>
  <c r="Z50" i="6"/>
  <c r="W49" i="6"/>
  <c r="U49" i="6"/>
  <c r="R49" i="6"/>
  <c r="Q49" i="6"/>
  <c r="AC48" i="6"/>
  <c r="AF48" i="6" s="1"/>
  <c r="AK48" i="6" s="1"/>
  <c r="X48" i="6"/>
  <c r="AI48" i="6" s="1"/>
  <c r="R48" i="6"/>
  <c r="Q48" i="6"/>
  <c r="W47" i="6"/>
  <c r="AC47" i="6" s="1"/>
  <c r="X47" i="6"/>
  <c r="AI47" i="6" s="1"/>
  <c r="U47" i="6"/>
  <c r="R47" i="6"/>
  <c r="Q47" i="6"/>
  <c r="J47" i="6"/>
  <c r="H47" i="6"/>
  <c r="H67" i="6" s="1"/>
  <c r="AC46" i="6"/>
  <c r="AF46" i="6" s="1"/>
  <c r="Z46" i="6"/>
  <c r="U46" i="6"/>
  <c r="R46" i="6"/>
  <c r="Q46" i="6"/>
  <c r="L46" i="6"/>
  <c r="L67" i="6"/>
  <c r="AC45" i="6"/>
  <c r="Z45" i="6"/>
  <c r="AK45" i="6" s="1"/>
  <c r="U45" i="6"/>
  <c r="R45" i="6"/>
  <c r="Q45" i="6"/>
  <c r="AC44" i="6"/>
  <c r="AE44" i="6" s="1"/>
  <c r="AJ44" i="6" s="1"/>
  <c r="Z44" i="6"/>
  <c r="AK44" i="6" s="1"/>
  <c r="U44" i="6"/>
  <c r="R44" i="6"/>
  <c r="Q44" i="6"/>
  <c r="AC43" i="6"/>
  <c r="AE43" i="6"/>
  <c r="AJ43" i="6" s="1"/>
  <c r="Z43" i="6"/>
  <c r="AK43" i="6" s="1"/>
  <c r="R43" i="6"/>
  <c r="Q43" i="6"/>
  <c r="AC42" i="6"/>
  <c r="AF42" i="6" s="1"/>
  <c r="Z42" i="6"/>
  <c r="U42" i="6"/>
  <c r="R42" i="6"/>
  <c r="Q42" i="6"/>
  <c r="AC41" i="6"/>
  <c r="AF41" i="6" s="1"/>
  <c r="AK41" i="6" s="1"/>
  <c r="Z41" i="6"/>
  <c r="R41" i="6"/>
  <c r="Q41" i="6"/>
  <c r="AC40" i="6"/>
  <c r="AF40" i="6" s="1"/>
  <c r="Z40" i="6"/>
  <c r="R40" i="6"/>
  <c r="Q40" i="6"/>
  <c r="AC39" i="6"/>
  <c r="AE39" i="6" s="1"/>
  <c r="AJ39" i="6" s="1"/>
  <c r="Z39" i="6"/>
  <c r="AK39" i="6" s="1"/>
  <c r="AC38" i="6"/>
  <c r="R38" i="6"/>
  <c r="Q38" i="6"/>
  <c r="AC37" i="6"/>
  <c r="AF37" i="6" s="1"/>
  <c r="AK37" i="6" s="1"/>
  <c r="AN37" i="6" s="1"/>
  <c r="Z37" i="6"/>
  <c r="AC36" i="6"/>
  <c r="AF36" i="6" s="1"/>
  <c r="Z36" i="6"/>
  <c r="AK36" i="6" s="1"/>
  <c r="R36" i="6"/>
  <c r="Q36" i="6"/>
  <c r="AV35" i="6"/>
  <c r="AW35" i="6"/>
  <c r="W35" i="6"/>
  <c r="U35" i="6"/>
  <c r="R35" i="6"/>
  <c r="Q35" i="6"/>
  <c r="AV34" i="6"/>
  <c r="AW34" i="6" s="1"/>
  <c r="AC34" i="6"/>
  <c r="U34" i="6"/>
  <c r="R34" i="6"/>
  <c r="Q34" i="6"/>
  <c r="J34" i="6"/>
  <c r="AV33" i="6"/>
  <c r="AW33" i="6" s="1"/>
  <c r="AC33" i="6"/>
  <c r="Z33" i="6"/>
  <c r="U33" i="6"/>
  <c r="R33" i="6"/>
  <c r="Q33" i="6"/>
  <c r="AV32" i="6"/>
  <c r="AW32" i="6" s="1"/>
  <c r="AC32" i="6"/>
  <c r="Z32" i="6"/>
  <c r="U32" i="6"/>
  <c r="R32" i="6"/>
  <c r="Q32" i="6"/>
  <c r="AV31" i="6"/>
  <c r="AW31" i="6" s="1"/>
  <c r="AC31" i="6"/>
  <c r="U31" i="6"/>
  <c r="R31" i="6"/>
  <c r="Q31" i="6"/>
  <c r="AV30" i="6"/>
  <c r="AC30" i="6"/>
  <c r="AY30" i="6"/>
  <c r="Z30" i="6"/>
  <c r="U30" i="6"/>
  <c r="R30" i="6"/>
  <c r="Q30" i="6"/>
  <c r="E30" i="6"/>
  <c r="E31" i="6" s="1"/>
  <c r="E32" i="6" s="1"/>
  <c r="E33" i="6" s="1"/>
  <c r="E34" i="6" s="1"/>
  <c r="E35" i="6" s="1"/>
  <c r="E36" i="6" s="1"/>
  <c r="E37" i="6" s="1"/>
  <c r="E38" i="6" s="1"/>
  <c r="E39" i="6" s="1"/>
  <c r="E40" i="6" s="1"/>
  <c r="E41" i="6" s="1"/>
  <c r="E42" i="6" s="1"/>
  <c r="E43" i="6" s="1"/>
  <c r="E44" i="6"/>
  <c r="E45" i="6" s="1"/>
  <c r="E46" i="6" s="1"/>
  <c r="E47" i="6" s="1"/>
  <c r="E48" i="6" s="1"/>
  <c r="E49" i="6" s="1"/>
  <c r="E50" i="6" s="1"/>
  <c r="E51" i="6" s="1"/>
  <c r="E52" i="6" s="1"/>
  <c r="E53" i="6" s="1"/>
  <c r="E54" i="6" s="1"/>
  <c r="E55" i="6" s="1"/>
  <c r="E56" i="6" s="1"/>
  <c r="E57" i="6" s="1"/>
  <c r="E58" i="6" s="1"/>
  <c r="E59" i="6" s="1"/>
  <c r="E60" i="6" s="1"/>
  <c r="E61" i="6" s="1"/>
  <c r="E62" i="6" s="1"/>
  <c r="E63" i="6" s="1"/>
  <c r="E64" i="6" s="1"/>
  <c r="E65" i="6" s="1"/>
  <c r="E66" i="6" s="1"/>
  <c r="AY29" i="6"/>
  <c r="AW29" i="6"/>
  <c r="AU28" i="6"/>
  <c r="AT28" i="6"/>
  <c r="AS28" i="6"/>
  <c r="AR28" i="6"/>
  <c r="AQ28" i="6"/>
  <c r="AP28" i="6"/>
  <c r="AW28" i="6" s="1"/>
  <c r="AO28" i="6"/>
  <c r="V28" i="6"/>
  <c r="T28" i="6"/>
  <c r="S28" i="6"/>
  <c r="P28" i="6"/>
  <c r="O28" i="6"/>
  <c r="N28" i="6"/>
  <c r="M28" i="6"/>
  <c r="L28" i="6"/>
  <c r="K28" i="6"/>
  <c r="J28" i="6"/>
  <c r="I28" i="6"/>
  <c r="H28" i="6"/>
  <c r="G28" i="6"/>
  <c r="AC27" i="6"/>
  <c r="AE27" i="6"/>
  <c r="AJ27" i="6" s="1"/>
  <c r="AV26" i="6"/>
  <c r="AW26" i="6" s="1"/>
  <c r="W26" i="6"/>
  <c r="U26" i="6"/>
  <c r="R26" i="6"/>
  <c r="Q26" i="6"/>
  <c r="AV25" i="6"/>
  <c r="AW25" i="6" s="1"/>
  <c r="W25" i="6"/>
  <c r="AC25" i="6" s="1"/>
  <c r="Y25" i="6"/>
  <c r="U25" i="6"/>
  <c r="R25" i="6"/>
  <c r="Q25" i="6"/>
  <c r="AV24" i="6"/>
  <c r="AW24" i="6" s="1"/>
  <c r="W24" i="6"/>
  <c r="AH28" i="6"/>
  <c r="AH6" i="8" s="1"/>
  <c r="U24" i="6"/>
  <c r="R24" i="6"/>
  <c r="R28" i="6" s="1"/>
  <c r="Q24" i="6"/>
  <c r="E24" i="6"/>
  <c r="E25" i="6" s="1"/>
  <c r="E26" i="6" s="1"/>
  <c r="E27" i="6" s="1"/>
  <c r="AY23" i="6"/>
  <c r="AW23" i="6"/>
  <c r="AU22" i="6"/>
  <c r="AT22" i="6"/>
  <c r="AS22" i="6"/>
  <c r="AR22" i="6"/>
  <c r="AQ22" i="6"/>
  <c r="AP22" i="6"/>
  <c r="AO22" i="6"/>
  <c r="V22" i="6"/>
  <c r="T22" i="6"/>
  <c r="S22" i="6"/>
  <c r="P22" i="6"/>
  <c r="O22" i="6"/>
  <c r="M22" i="6"/>
  <c r="I22" i="6"/>
  <c r="G22" i="6"/>
  <c r="AC21" i="6"/>
  <c r="AY21" i="6" s="1"/>
  <c r="Y21" i="6"/>
  <c r="AJ21" i="6"/>
  <c r="AN21" i="6" s="1"/>
  <c r="AC20" i="6"/>
  <c r="Y20" i="6"/>
  <c r="AJ20" i="6" s="1"/>
  <c r="AC19" i="6"/>
  <c r="Z19" i="6"/>
  <c r="AK19" i="6" s="1"/>
  <c r="AV18" i="6"/>
  <c r="AW18" i="6" s="1"/>
  <c r="AC18" i="6"/>
  <c r="U18" i="6"/>
  <c r="Q18" i="6"/>
  <c r="N18" i="6"/>
  <c r="K18" i="6"/>
  <c r="K22" i="6" s="1"/>
  <c r="J18" i="6"/>
  <c r="J22" i="6" s="1"/>
  <c r="AV17" i="6"/>
  <c r="AW17" i="6" s="1"/>
  <c r="AC17" i="6"/>
  <c r="AY17" i="6" s="1"/>
  <c r="U17" i="6"/>
  <c r="R17" i="6"/>
  <c r="Q17" i="6"/>
  <c r="AV16" i="6"/>
  <c r="AW16" i="6" s="1"/>
  <c r="AC16" i="6"/>
  <c r="AG16" i="6" s="1"/>
  <c r="AL16" i="6" s="1"/>
  <c r="Y16" i="6"/>
  <c r="AJ16" i="6" s="1"/>
  <c r="U16" i="6"/>
  <c r="R16" i="6"/>
  <c r="Q16" i="6"/>
  <c r="AV15" i="6"/>
  <c r="AW15" i="6" s="1"/>
  <c r="W15" i="6"/>
  <c r="U15" i="6"/>
  <c r="Q15" i="6"/>
  <c r="N15" i="6"/>
  <c r="R15" i="6" s="1"/>
  <c r="L15" i="6"/>
  <c r="AV14" i="6"/>
  <c r="AC14" i="6"/>
  <c r="U14" i="6"/>
  <c r="R14" i="6"/>
  <c r="Q14" i="6"/>
  <c r="L14" i="6"/>
  <c r="H14" i="6"/>
  <c r="H22" i="6"/>
  <c r="AV13" i="6"/>
  <c r="AW13" i="6" s="1"/>
  <c r="AC13" i="6"/>
  <c r="AY13" i="6" s="1"/>
  <c r="Y13" i="6"/>
  <c r="U13" i="6"/>
  <c r="R13" i="6"/>
  <c r="Q13" i="6"/>
  <c r="E13" i="6"/>
  <c r="E14" i="6" s="1"/>
  <c r="E15" i="6" s="1"/>
  <c r="E16" i="6" s="1"/>
  <c r="E17" i="6" s="1"/>
  <c r="E18" i="6" s="1"/>
  <c r="E19" i="6" s="1"/>
  <c r="E20" i="6" s="1"/>
  <c r="E21" i="6" s="1"/>
  <c r="AY12" i="6"/>
  <c r="AW12" i="6"/>
  <c r="AY11" i="6"/>
  <c r="AW11" i="6"/>
  <c r="AU10" i="6"/>
  <c r="AU4" i="7" s="1"/>
  <c r="AT10" i="6"/>
  <c r="AT4" i="7" s="1"/>
  <c r="AS10" i="6"/>
  <c r="AS4" i="7" s="1"/>
  <c r="AR10" i="6"/>
  <c r="AR4" i="7" s="1"/>
  <c r="AQ10" i="6"/>
  <c r="AQ4" i="7" s="1"/>
  <c r="AP10" i="6"/>
  <c r="AP4" i="7" s="1"/>
  <c r="AO10" i="6"/>
  <c r="AO4" i="7"/>
  <c r="V10" i="6"/>
  <c r="V4" i="7" s="1"/>
  <c r="T10" i="6"/>
  <c r="S10" i="6"/>
  <c r="P10" i="6"/>
  <c r="O10" i="6"/>
  <c r="N10" i="6"/>
  <c r="M10" i="6"/>
  <c r="K10" i="6"/>
  <c r="J10" i="6"/>
  <c r="I10" i="6"/>
  <c r="G10" i="6"/>
  <c r="AV9" i="6"/>
  <c r="W9" i="6"/>
  <c r="AA9" i="6" s="1"/>
  <c r="AL9" i="6" s="1"/>
  <c r="AV8" i="6"/>
  <c r="AW8" i="6" s="1"/>
  <c r="W8" i="6"/>
  <c r="U8" i="6"/>
  <c r="R8" i="6"/>
  <c r="Q8" i="6"/>
  <c r="L8" i="6"/>
  <c r="L10" i="6"/>
  <c r="H8" i="6"/>
  <c r="H10" i="6" s="1"/>
  <c r="AV7" i="6"/>
  <c r="AW7" i="6" s="1"/>
  <c r="AH7" i="6"/>
  <c r="AM7" i="6" s="1"/>
  <c r="AC7" i="6"/>
  <c r="AY7" i="6" s="1"/>
  <c r="R7" i="6"/>
  <c r="Q7" i="6"/>
  <c r="AC6" i="6"/>
  <c r="AY6" i="6" s="1"/>
  <c r="R6" i="6"/>
  <c r="Q6" i="6"/>
  <c r="AV5" i="6"/>
  <c r="AW5" i="6" s="1"/>
  <c r="AC5" i="6"/>
  <c r="AG5" i="6" s="1"/>
  <c r="U5" i="6"/>
  <c r="R5" i="6"/>
  <c r="R10" i="6" s="1"/>
  <c r="Q5" i="6"/>
  <c r="E5" i="6"/>
  <c r="E6" i="6" s="1"/>
  <c r="E7" i="6" s="1"/>
  <c r="E8" i="6" s="1"/>
  <c r="E9" i="6" s="1"/>
  <c r="AY258" i="6"/>
  <c r="V335" i="6"/>
  <c r="AW397" i="6"/>
  <c r="R435" i="6"/>
  <c r="AC362" i="6"/>
  <c r="AY362" i="6" s="1"/>
  <c r="AY205" i="6"/>
  <c r="X329" i="6"/>
  <c r="AI329" i="6" s="1"/>
  <c r="AH386" i="6"/>
  <c r="AM386" i="6" s="1"/>
  <c r="AC421" i="6"/>
  <c r="AW431" i="6"/>
  <c r="Q282" i="6"/>
  <c r="R368" i="6"/>
  <c r="N376" i="6"/>
  <c r="Q350" i="6"/>
  <c r="AD389" i="6"/>
  <c r="AI389" i="6"/>
  <c r="AH389" i="6"/>
  <c r="AM389" i="6" s="1"/>
  <c r="R260" i="6"/>
  <c r="AD455" i="6"/>
  <c r="AI455" i="6" s="1"/>
  <c r="AD387" i="6"/>
  <c r="AI387" i="6" s="1"/>
  <c r="AH387" i="6"/>
  <c r="AH207" i="6"/>
  <c r="AM207" i="6" s="1"/>
  <c r="AN207" i="6" s="1"/>
  <c r="R311" i="6"/>
  <c r="AY25" i="6"/>
  <c r="AE25" i="6"/>
  <c r="AY359" i="6"/>
  <c r="AH286" i="6"/>
  <c r="AH28" i="8" s="1"/>
  <c r="V200" i="6"/>
  <c r="J298" i="6"/>
  <c r="H366" i="6"/>
  <c r="R457" i="6"/>
  <c r="AC464" i="6"/>
  <c r="AY464" i="6" s="1"/>
  <c r="AE403" i="6"/>
  <c r="AE37" i="8" s="1"/>
  <c r="AH172" i="6"/>
  <c r="AE172" i="6"/>
  <c r="AJ172" i="6" s="1"/>
  <c r="AE174" i="6"/>
  <c r="AJ174" i="6" s="1"/>
  <c r="AC383" i="6"/>
  <c r="U517" i="6"/>
  <c r="U518" i="6" s="1"/>
  <c r="AW521" i="6"/>
  <c r="R358" i="6"/>
  <c r="R366" i="6" s="1"/>
  <c r="AY443" i="6"/>
  <c r="AW436" i="6"/>
  <c r="AY356" i="6"/>
  <c r="AY431" i="6"/>
  <c r="AC467" i="6"/>
  <c r="AY467" i="6" s="1"/>
  <c r="AD385" i="6"/>
  <c r="AY385" i="6"/>
  <c r="N432" i="6"/>
  <c r="S518" i="6"/>
  <c r="P433" i="6"/>
  <c r="AC460" i="6"/>
  <c r="AY460" i="6" s="1"/>
  <c r="X461" i="6"/>
  <c r="AI461" i="6" s="1"/>
  <c r="AC461" i="6"/>
  <c r="AY461" i="6" s="1"/>
  <c r="AY383" i="6"/>
  <c r="N200" i="6"/>
  <c r="AC458" i="6"/>
  <c r="AD393" i="6"/>
  <c r="AH393" i="6"/>
  <c r="AM393" i="6"/>
  <c r="X454" i="6"/>
  <c r="Y454" i="6" s="1"/>
  <c r="X459" i="6"/>
  <c r="AI459" i="6" s="1"/>
  <c r="X464" i="6"/>
  <c r="AI464" i="6"/>
  <c r="X465" i="6"/>
  <c r="AI465" i="6" s="1"/>
  <c r="AF306" i="6"/>
  <c r="AY306" i="6"/>
  <c r="AF312" i="6"/>
  <c r="AY312" i="6"/>
  <c r="U385" i="6"/>
  <c r="T210" i="6"/>
  <c r="AF22" i="6"/>
  <c r="AF5" i="8" s="1"/>
  <c r="AC24" i="6"/>
  <c r="AY89" i="6"/>
  <c r="AY219" i="6"/>
  <c r="R268" i="6"/>
  <c r="AY284" i="6"/>
  <c r="AF286" i="6"/>
  <c r="AF28" i="8" s="1"/>
  <c r="AH115" i="6"/>
  <c r="AM115" i="6" s="1"/>
  <c r="AN115" i="6" s="1"/>
  <c r="AG223" i="6"/>
  <c r="AL223" i="6" s="1"/>
  <c r="T71" i="6"/>
  <c r="AE88" i="6"/>
  <c r="AA242" i="6"/>
  <c r="AY274" i="6"/>
  <c r="AY305" i="6"/>
  <c r="AG305" i="6"/>
  <c r="AH114" i="6"/>
  <c r="AY178" i="6"/>
  <c r="AG224" i="6"/>
  <c r="AL224" i="6" s="1"/>
  <c r="AG296" i="6"/>
  <c r="AL296" i="6" s="1"/>
  <c r="AE330" i="6"/>
  <c r="AG344" i="6"/>
  <c r="AL344" i="6" s="1"/>
  <c r="AY344" i="6"/>
  <c r="AH356" i="6"/>
  <c r="AA156" i="6"/>
  <c r="AA167" i="6"/>
  <c r="AL167" i="6"/>
  <c r="AG85" i="6"/>
  <c r="AG9" i="8" s="1"/>
  <c r="K154" i="6"/>
  <c r="AG147" i="6"/>
  <c r="AL147" i="6" s="1"/>
  <c r="AE269" i="6"/>
  <c r="AJ269" i="6" s="1"/>
  <c r="AF301" i="6"/>
  <c r="AK301" i="6" s="1"/>
  <c r="AY318" i="6"/>
  <c r="AF338" i="6"/>
  <c r="AK338" i="6" s="1"/>
  <c r="AY338" i="6"/>
  <c r="AY372" i="6"/>
  <c r="AY397" i="6"/>
  <c r="AG397" i="6"/>
  <c r="AF30" i="6"/>
  <c r="AG229" i="6"/>
  <c r="AY229" i="6"/>
  <c r="AA243" i="6"/>
  <c r="AL243" i="6" s="1"/>
  <c r="X249" i="6"/>
  <c r="X24" i="8" s="1"/>
  <c r="AG244" i="6"/>
  <c r="AG249" i="6" s="1"/>
  <c r="AG24" i="8" s="1"/>
  <c r="AE281" i="6"/>
  <c r="AE282" i="6"/>
  <c r="AE27" i="8" s="1"/>
  <c r="AY281" i="6"/>
  <c r="AY285" i="6"/>
  <c r="AG285" i="6"/>
  <c r="AL285" i="6"/>
  <c r="AN285" i="6" s="1"/>
  <c r="AY290" i="6"/>
  <c r="AG290" i="6"/>
  <c r="AG292" i="6"/>
  <c r="AL292" i="6" s="1"/>
  <c r="AF339" i="6"/>
  <c r="AK339" i="6" s="1"/>
  <c r="AY339" i="6"/>
  <c r="AY341" i="6"/>
  <c r="AG341" i="6"/>
  <c r="AL341" i="6" s="1"/>
  <c r="AY364" i="6"/>
  <c r="AG297" i="6"/>
  <c r="AL297" i="6" s="1"/>
  <c r="AN297" i="6" s="1"/>
  <c r="AY297" i="6"/>
  <c r="AY328" i="6"/>
  <c r="AG328" i="6"/>
  <c r="AL328" i="6" s="1"/>
  <c r="AY401" i="6"/>
  <c r="AG401" i="6"/>
  <c r="AL401" i="6" s="1"/>
  <c r="AY304" i="6"/>
  <c r="AG304" i="6"/>
  <c r="AL304" i="6" s="1"/>
  <c r="AY320" i="6"/>
  <c r="AG320" i="6"/>
  <c r="AL320" i="6"/>
  <c r="AY332" i="6"/>
  <c r="AG332" i="6"/>
  <c r="AL332" i="6" s="1"/>
  <c r="AN332" i="6" s="1"/>
  <c r="AH348" i="6"/>
  <c r="AY348" i="6"/>
  <c r="AY369" i="6"/>
  <c r="Z427" i="6"/>
  <c r="Z40" i="8" s="1"/>
  <c r="AY423" i="6"/>
  <c r="Y102" i="6"/>
  <c r="AO433" i="6"/>
  <c r="AO8" i="7" s="1"/>
  <c r="AW159" i="6"/>
  <c r="O433" i="6"/>
  <c r="O518" i="6"/>
  <c r="AY493" i="6"/>
  <c r="AH493" i="6"/>
  <c r="AM493" i="6" s="1"/>
  <c r="AL95" i="6"/>
  <c r="AJ10" i="6"/>
  <c r="AJ4" i="7" s="1"/>
  <c r="H43" i="8"/>
  <c r="AJ46" i="8"/>
  <c r="Q27" i="8"/>
  <c r="L44" i="8"/>
  <c r="J34" i="8"/>
  <c r="H18" i="8"/>
  <c r="U18" i="8"/>
  <c r="U22" i="8"/>
  <c r="AI18" i="8"/>
  <c r="AV12" i="8"/>
  <c r="K13" i="8"/>
  <c r="Q32" i="8"/>
  <c r="H33" i="8"/>
  <c r="AI41" i="8"/>
  <c r="T46" i="8"/>
  <c r="R22" i="8"/>
  <c r="J39" i="8"/>
  <c r="AM43" i="8"/>
  <c r="Q18" i="8"/>
  <c r="H19" i="8"/>
  <c r="R27" i="8"/>
  <c r="U29" i="8"/>
  <c r="T14" i="8"/>
  <c r="T21" i="8"/>
  <c r="N27" i="8"/>
  <c r="AK45" i="8"/>
  <c r="Q35" i="8"/>
  <c r="AM49" i="8"/>
  <c r="AJ43" i="8"/>
  <c r="Q8" i="8"/>
  <c r="J12" i="8"/>
  <c r="AI8" i="8"/>
  <c r="AI11" i="8" s="1"/>
  <c r="AM8" i="8"/>
  <c r="J14" i="8"/>
  <c r="R18" i="8"/>
  <c r="R28" i="8"/>
  <c r="J33" i="8"/>
  <c r="T47" i="8"/>
  <c r="P31" i="8"/>
  <c r="R31" i="8"/>
  <c r="R6" i="8"/>
  <c r="AI6" i="8"/>
  <c r="J15" i="8"/>
  <c r="N44" i="8"/>
  <c r="R44" i="8"/>
  <c r="Q12" i="8"/>
  <c r="AW12" i="8"/>
  <c r="L13" i="8"/>
  <c r="L14" i="8"/>
  <c r="AK22" i="8"/>
  <c r="AJ24" i="8"/>
  <c r="Q6" i="8"/>
  <c r="AW9" i="8"/>
  <c r="AV9" i="8"/>
  <c r="AJ14" i="8"/>
  <c r="N20" i="8"/>
  <c r="AI20" i="8"/>
  <c r="AI44" i="8"/>
  <c r="N47" i="8"/>
  <c r="AI22" i="8"/>
  <c r="J24" i="8"/>
  <c r="R24" i="8"/>
  <c r="Q28" i="8"/>
  <c r="AM28" i="8"/>
  <c r="Q31" i="8"/>
  <c r="AJ32" i="8"/>
  <c r="AK35" i="8"/>
  <c r="L40" i="8"/>
  <c r="J49" i="8"/>
  <c r="AK28" i="8"/>
  <c r="R35" i="8"/>
  <c r="V40" i="8"/>
  <c r="AI49" i="8"/>
  <c r="R10" i="8"/>
  <c r="K14" i="8"/>
  <c r="K15" i="8"/>
  <c r="AL17" i="8"/>
  <c r="H24" i="8"/>
  <c r="U27" i="8"/>
  <c r="R32" i="8"/>
  <c r="AI32" i="8"/>
  <c r="U40" i="8"/>
  <c r="AM41" i="8"/>
  <c r="Q43" i="8"/>
  <c r="H44" i="8"/>
  <c r="R7" i="8"/>
  <c r="AV13" i="8"/>
  <c r="AW13" i="8"/>
  <c r="R8" i="8"/>
  <c r="U12" i="8"/>
  <c r="AJ8" i="8"/>
  <c r="AN8" i="8" s="1"/>
  <c r="R9" i="8"/>
  <c r="L12" i="8"/>
  <c r="AK24" i="8"/>
  <c r="U5" i="8"/>
  <c r="U7" i="8"/>
  <c r="AV8" i="8"/>
  <c r="AW8" i="8" s="1"/>
  <c r="L10" i="8"/>
  <c r="U13" i="8"/>
  <c r="AI13" i="8"/>
  <c r="Q13" i="8"/>
  <c r="AI14" i="8"/>
  <c r="U14" i="8"/>
  <c r="AV14" i="8"/>
  <c r="R17" i="8"/>
  <c r="AK18" i="8"/>
  <c r="V19" i="8"/>
  <c r="V21" i="8" s="1"/>
  <c r="O22" i="8"/>
  <c r="N26" i="8"/>
  <c r="AJ28" i="8"/>
  <c r="T30" i="8"/>
  <c r="N40" i="8"/>
  <c r="R40" i="8"/>
  <c r="V45" i="8"/>
  <c r="AK6" i="8"/>
  <c r="J7" i="8"/>
  <c r="Q9" i="8"/>
  <c r="AI10" i="8"/>
  <c r="H12" i="8"/>
  <c r="Q14" i="8"/>
  <c r="AM15" i="8"/>
  <c r="AK15" i="8"/>
  <c r="AM17" i="8"/>
  <c r="AM18" i="8"/>
  <c r="R19" i="8"/>
  <c r="AI19" i="8"/>
  <c r="AV20" i="8"/>
  <c r="AV22" i="8"/>
  <c r="Q26" i="8"/>
  <c r="AW26" i="8"/>
  <c r="AM26" i="8"/>
  <c r="AV35" i="8"/>
  <c r="P22" i="8"/>
  <c r="AI5" i="8"/>
  <c r="N5" i="8"/>
  <c r="AL6" i="8"/>
  <c r="AK8" i="8"/>
  <c r="AV10" i="8"/>
  <c r="S11" i="8"/>
  <c r="AK12" i="8"/>
  <c r="AK14" i="8"/>
  <c r="U15" i="8"/>
  <c r="AI15" i="8"/>
  <c r="L15" i="8"/>
  <c r="AJ18" i="8"/>
  <c r="J19" i="8"/>
  <c r="AJ20" i="8"/>
  <c r="I20" i="8"/>
  <c r="I21" i="8" s="1"/>
  <c r="J22" i="8"/>
  <c r="Q23" i="8"/>
  <c r="J23" i="8"/>
  <c r="Q24" i="8"/>
  <c r="AI28" i="8"/>
  <c r="Q29" i="8"/>
  <c r="K30" i="8"/>
  <c r="N30" i="8"/>
  <c r="R30" i="8"/>
  <c r="AK34" i="8"/>
  <c r="Q22" i="8"/>
  <c r="AI24" i="8"/>
  <c r="AI25" i="8"/>
  <c r="U26" i="8"/>
  <c r="J29" i="8"/>
  <c r="AM30" i="8"/>
  <c r="H31" i="8"/>
  <c r="AK32" i="8"/>
  <c r="U34" i="8"/>
  <c r="Q34" i="8"/>
  <c r="AM35" i="8"/>
  <c r="AI35" i="8"/>
  <c r="AI38" i="8" s="1"/>
  <c r="N41" i="8"/>
  <c r="AI31" i="8"/>
  <c r="U31" i="8"/>
  <c r="AI33" i="8"/>
  <c r="T36" i="8"/>
  <c r="U36" i="8"/>
  <c r="AI39" i="8"/>
  <c r="R46" i="8"/>
  <c r="P47" i="8"/>
  <c r="R26" i="8"/>
  <c r="K26" i="8"/>
  <c r="AL27" i="8"/>
  <c r="U28" i="8"/>
  <c r="AK29" i="8"/>
  <c r="H29" i="8"/>
  <c r="U30" i="8"/>
  <c r="AV37" i="8"/>
  <c r="R43" i="8"/>
  <c r="Q36" i="8"/>
  <c r="AV36" i="8"/>
  <c r="R37" i="8"/>
  <c r="L39" i="8"/>
  <c r="R41" i="8"/>
  <c r="P43" i="8"/>
  <c r="Q46" i="8"/>
  <c r="U49" i="8"/>
  <c r="AL36" i="8"/>
  <c r="AK36" i="8"/>
  <c r="R39" i="8"/>
  <c r="Q40" i="8"/>
  <c r="J40" i="8"/>
  <c r="AI40" i="8"/>
  <c r="AK41" i="8"/>
  <c r="Q41" i="8"/>
  <c r="U44" i="8"/>
  <c r="AL45" i="8"/>
  <c r="AK46" i="8"/>
  <c r="Q49" i="8"/>
  <c r="Q7" i="8"/>
  <c r="AL8" i="8"/>
  <c r="H11" i="8"/>
  <c r="Q5" i="8"/>
  <c r="AK5" i="8"/>
  <c r="AM6" i="8"/>
  <c r="AV7" i="8"/>
  <c r="R5" i="8"/>
  <c r="AV6" i="8"/>
  <c r="AL4" i="8"/>
  <c r="AJ4" i="8"/>
  <c r="AM7" i="8"/>
  <c r="U8" i="8"/>
  <c r="AI9" i="8"/>
  <c r="AM9" i="8"/>
  <c r="Q10" i="8"/>
  <c r="AK10" i="8"/>
  <c r="M11" i="8"/>
  <c r="AI12" i="8"/>
  <c r="R13" i="8"/>
  <c r="AI16" i="8"/>
  <c r="AJ17" i="8"/>
  <c r="AR21" i="8"/>
  <c r="AV18" i="8"/>
  <c r="J20" i="8"/>
  <c r="AT23" i="8"/>
  <c r="AM25" i="8"/>
  <c r="AJ25" i="8"/>
  <c r="J26" i="8"/>
  <c r="H26" i="8"/>
  <c r="R34" i="8"/>
  <c r="N34" i="8"/>
  <c r="N10" i="8"/>
  <c r="AK23" i="8"/>
  <c r="T24" i="8"/>
  <c r="U24" i="8"/>
  <c r="AV5" i="8"/>
  <c r="U10" i="8"/>
  <c r="AW10" i="8"/>
  <c r="R12" i="8"/>
  <c r="J13" i="8"/>
  <c r="R14" i="8"/>
  <c r="N14" i="8"/>
  <c r="AV16" i="8"/>
  <c r="AK17" i="8"/>
  <c r="V33" i="8"/>
  <c r="N45" i="8"/>
  <c r="P15" i="8"/>
  <c r="R15" i="8"/>
  <c r="O20" i="8"/>
  <c r="O21" i="8" s="1"/>
  <c r="Q20" i="8"/>
  <c r="Q21" i="8" s="1"/>
  <c r="AL7" i="8"/>
  <c r="M14" i="8"/>
  <c r="Q15" i="8"/>
  <c r="AN16" i="8"/>
  <c r="Q17" i="8"/>
  <c r="AV17" i="8"/>
  <c r="U19" i="8"/>
  <c r="U21" i="8" s="1"/>
  <c r="AV19" i="8"/>
  <c r="R20" i="8"/>
  <c r="AJ29" i="8"/>
  <c r="AK13" i="8"/>
  <c r="H14" i="8"/>
  <c r="AV15" i="8"/>
  <c r="Q19" i="8"/>
  <c r="U23" i="8"/>
  <c r="AM24" i="8"/>
  <c r="AV26" i="8"/>
  <c r="AI27" i="8"/>
  <c r="J30" i="8"/>
  <c r="AJ15" i="8"/>
  <c r="R23" i="8"/>
  <c r="H23" i="8"/>
  <c r="AV24" i="8"/>
  <c r="AM27" i="8"/>
  <c r="AV28" i="8"/>
  <c r="H30" i="8"/>
  <c r="AV30" i="8"/>
  <c r="AW30" i="8"/>
  <c r="AL32" i="8"/>
  <c r="P33" i="8"/>
  <c r="R33" i="8"/>
  <c r="AK25" i="8"/>
  <c r="R29" i="8"/>
  <c r="AI29" i="8"/>
  <c r="AW29" i="8"/>
  <c r="AV29" i="8"/>
  <c r="Q30" i="8"/>
  <c r="J31" i="8"/>
  <c r="AJ31" i="8"/>
  <c r="AV39" i="8"/>
  <c r="AI23" i="8"/>
  <c r="AM23" i="8"/>
  <c r="AI26" i="8"/>
  <c r="AM29" i="8"/>
  <c r="AW31" i="8"/>
  <c r="AV31" i="8"/>
  <c r="AI34" i="8"/>
  <c r="V30" i="8"/>
  <c r="U33" i="8"/>
  <c r="P36" i="8"/>
  <c r="U39" i="8"/>
  <c r="AL39" i="8"/>
  <c r="AV43" i="8"/>
  <c r="Q33" i="8"/>
  <c r="AV33" i="8"/>
  <c r="AV34" i="8"/>
  <c r="Q37" i="8"/>
  <c r="AK37" i="8"/>
  <c r="Q39" i="8"/>
  <c r="AK40" i="8"/>
  <c r="H34" i="8"/>
  <c r="AL37" i="8"/>
  <c r="H40" i="8"/>
  <c r="H42" i="8" s="1"/>
  <c r="U37" i="8"/>
  <c r="AI37" i="8"/>
  <c r="AM37" i="8"/>
  <c r="AV40" i="8"/>
  <c r="K43" i="8"/>
  <c r="Q44" i="8"/>
  <c r="L45" i="8"/>
  <c r="AV41" i="8"/>
  <c r="AW41" i="8" s="1"/>
  <c r="AK43" i="8"/>
  <c r="P45" i="8"/>
  <c r="AV49" i="8"/>
  <c r="AJ41" i="8"/>
  <c r="AI43" i="8"/>
  <c r="AV44" i="8"/>
  <c r="V44" i="8"/>
  <c r="AM46" i="8"/>
  <c r="Q45" i="8"/>
  <c r="H45" i="8"/>
  <c r="AV45" i="8"/>
  <c r="AM45" i="8"/>
  <c r="AL46" i="8"/>
  <c r="Q47" i="8"/>
  <c r="U47" i="8"/>
  <c r="P49" i="8"/>
  <c r="R49" i="8"/>
  <c r="AL49" i="8"/>
  <c r="H49" i="8"/>
  <c r="G48" i="8"/>
  <c r="AK49" i="8"/>
  <c r="AI17" i="8"/>
  <c r="R47" i="8"/>
  <c r="AN24" i="8"/>
  <c r="AN43" i="8"/>
  <c r="AI46" i="8"/>
  <c r="AM13" i="8"/>
  <c r="AI47" i="8"/>
  <c r="AJ13" i="8"/>
  <c r="R36" i="8"/>
  <c r="AM31" i="8"/>
  <c r="AL15" i="8"/>
  <c r="R45" i="8"/>
  <c r="AN17" i="8"/>
  <c r="AJ47" i="8"/>
  <c r="AK39" i="8"/>
  <c r="AI30" i="8"/>
  <c r="AJ35" i="8"/>
  <c r="AJ34" i="8"/>
  <c r="AW23" i="8"/>
  <c r="AL34" i="8"/>
  <c r="AM10" i="8"/>
  <c r="AK30" i="8"/>
  <c r="AV23" i="8"/>
  <c r="AJ49" i="8"/>
  <c r="AN15" i="8"/>
  <c r="AK19" i="8"/>
  <c r="AJ9" i="8"/>
  <c r="AN49" i="8"/>
  <c r="AK27" i="8"/>
  <c r="AK20" i="8"/>
  <c r="AI7" i="8"/>
  <c r="AN46" i="8"/>
  <c r="AL33" i="8"/>
  <c r="AK9" i="8"/>
  <c r="AL13" i="8"/>
  <c r="AJ44" i="8"/>
  <c r="AJ39" i="8"/>
  <c r="AN29" i="8"/>
  <c r="AM33" i="8"/>
  <c r="AL29" i="8"/>
  <c r="AN37" i="8"/>
  <c r="AM22" i="8"/>
  <c r="AM19" i="8"/>
  <c r="AM21" i="8" s="1"/>
  <c r="AM20" i="8"/>
  <c r="AJ40" i="8"/>
  <c r="AM47" i="8"/>
  <c r="AK33" i="8"/>
  <c r="AL24" i="8"/>
  <c r="AJ23" i="8"/>
  <c r="AL5" i="8"/>
  <c r="AJ37" i="8"/>
  <c r="AJ38" i="8" s="1"/>
  <c r="AJ22" i="8"/>
  <c r="AN18" i="8"/>
  <c r="AL18" i="8"/>
  <c r="AJ5" i="8"/>
  <c r="AL43" i="8"/>
  <c r="AI45" i="8"/>
  <c r="AJ42" i="8"/>
  <c r="AL19" i="8"/>
  <c r="AL12" i="8"/>
  <c r="AM34" i="8"/>
  <c r="AN13" i="8"/>
  <c r="AL31" i="8"/>
  <c r="AI36" i="8"/>
  <c r="AJ27" i="8"/>
  <c r="AN27" i="8"/>
  <c r="AN41" i="8"/>
  <c r="AL41" i="8"/>
  <c r="AM12" i="8"/>
  <c r="AJ19" i="8"/>
  <c r="AN19" i="8"/>
  <c r="AL20" i="8"/>
  <c r="AN20" i="8"/>
  <c r="AN5" i="8"/>
  <c r="AM4" i="8"/>
  <c r="AN4" i="8"/>
  <c r="AK31" i="8"/>
  <c r="AJ7" i="8"/>
  <c r="AN35" i="8"/>
  <c r="AL35" i="8"/>
  <c r="AK47" i="8"/>
  <c r="AJ10" i="8"/>
  <c r="AL14" i="8"/>
  <c r="AN28" i="8"/>
  <c r="AL28" i="8"/>
  <c r="AM32" i="8"/>
  <c r="AN32" i="8"/>
  <c r="AM14" i="8"/>
  <c r="AL23" i="8"/>
  <c r="AN23" i="8"/>
  <c r="AK44" i="8"/>
  <c r="AL10" i="8"/>
  <c r="AJ30" i="8"/>
  <c r="AM39" i="8"/>
  <c r="AN39" i="8"/>
  <c r="AL47" i="8"/>
  <c r="AL48" i="8"/>
  <c r="AL30" i="8"/>
  <c r="AN25" i="8"/>
  <c r="AL25" i="8"/>
  <c r="AL22" i="8"/>
  <c r="AN22" i="8"/>
  <c r="AN33" i="8"/>
  <c r="AJ33" i="8"/>
  <c r="AM5" i="8"/>
  <c r="AN9" i="8"/>
  <c r="AL9" i="8"/>
  <c r="AL44" i="8"/>
  <c r="AJ26" i="8"/>
  <c r="AM44" i="8"/>
  <c r="AK26" i="8"/>
  <c r="AK7" i="8"/>
  <c r="AN7" i="8"/>
  <c r="AM36" i="8"/>
  <c r="AL26" i="8"/>
  <c r="AN34" i="8"/>
  <c r="AM40" i="8"/>
  <c r="AM42" i="8" s="1"/>
  <c r="AN14" i="8"/>
  <c r="AN31" i="8"/>
  <c r="AN10" i="8"/>
  <c r="AN30" i="8"/>
  <c r="AN6" i="8"/>
  <c r="AJ6" i="8"/>
  <c r="AN26" i="8"/>
  <c r="AN40" i="8"/>
  <c r="AN42" i="8" s="1"/>
  <c r="AL40" i="8"/>
  <c r="AN12" i="8"/>
  <c r="AJ12" i="8"/>
  <c r="AJ36" i="8"/>
  <c r="AN36" i="8"/>
  <c r="AJ45" i="8"/>
  <c r="AN45" i="8"/>
  <c r="AN47" i="8"/>
  <c r="AN44" i="8"/>
  <c r="AG373" i="6"/>
  <c r="AL373" i="6" s="1"/>
  <c r="AY373" i="6"/>
  <c r="AC432" i="6"/>
  <c r="AG430" i="6"/>
  <c r="AL430" i="6" s="1"/>
  <c r="T249" i="6"/>
  <c r="V427" i="6"/>
  <c r="AC358" i="6"/>
  <c r="AY358" i="6" s="1"/>
  <c r="AK50" i="6"/>
  <c r="X102" i="6"/>
  <c r="X10" i="8" s="1"/>
  <c r="AJ122" i="6"/>
  <c r="AH125" i="6"/>
  <c r="Y154" i="6"/>
  <c r="Y15" i="8" s="1"/>
  <c r="AW204" i="6"/>
  <c r="AG426" i="6"/>
  <c r="AL426" i="6" s="1"/>
  <c r="AY426" i="6"/>
  <c r="AL52" i="6"/>
  <c r="AA67" i="6"/>
  <c r="AA7" i="8" s="1"/>
  <c r="AA102" i="6"/>
  <c r="AB95" i="6"/>
  <c r="AC392" i="6"/>
  <c r="AY392" i="6" s="1"/>
  <c r="X392" i="6"/>
  <c r="O103" i="6"/>
  <c r="AB140" i="6"/>
  <c r="AA140" i="6"/>
  <c r="AY310" i="6"/>
  <c r="AG310" i="6"/>
  <c r="AJ400" i="6"/>
  <c r="AD32" i="8"/>
  <c r="Y427" i="6"/>
  <c r="Y433" i="6" s="1"/>
  <c r="Y8" i="7" s="1"/>
  <c r="AV249" i="6"/>
  <c r="AW73" i="6"/>
  <c r="AW85" i="6" s="1"/>
  <c r="AK312" i="6"/>
  <c r="AY216" i="6"/>
  <c r="U28" i="6"/>
  <c r="AC162" i="6"/>
  <c r="AC17" i="8" s="1"/>
  <c r="AK411" i="6"/>
  <c r="AH411" i="6"/>
  <c r="AM411" i="6"/>
  <c r="AN411" i="6" s="1"/>
  <c r="AI516" i="6"/>
  <c r="Z516" i="6"/>
  <c r="AK516" i="6" s="1"/>
  <c r="AN516" i="6" s="1"/>
  <c r="Z44" i="8"/>
  <c r="AB370" i="6"/>
  <c r="AM370" i="6" s="1"/>
  <c r="AN370" i="6" s="1"/>
  <c r="AU351" i="6"/>
  <c r="U282" i="6"/>
  <c r="R286" i="6"/>
  <c r="J366" i="6"/>
  <c r="K438" i="6"/>
  <c r="Q451" i="6"/>
  <c r="AN507" i="6"/>
  <c r="H427" i="6"/>
  <c r="R455" i="6"/>
  <c r="AD433" i="6"/>
  <c r="AD8" i="7" s="1"/>
  <c r="AF9" i="7"/>
  <c r="V528" i="6"/>
  <c r="V12" i="7"/>
  <c r="AK261" i="6"/>
  <c r="AN261" i="6" s="1"/>
  <c r="K278" i="6"/>
  <c r="AJ270" i="6"/>
  <c r="M433" i="6"/>
  <c r="S433" i="6"/>
  <c r="AP433" i="6"/>
  <c r="AP8" i="7" s="1"/>
  <c r="AQ433" i="6"/>
  <c r="AQ8" i="7" s="1"/>
  <c r="AY437" i="6"/>
  <c r="R467" i="6"/>
  <c r="K518" i="6"/>
  <c r="X496" i="6"/>
  <c r="AH501" i="6"/>
  <c r="AM501" i="6" s="1"/>
  <c r="Z514" i="6"/>
  <c r="AK514" i="6" s="1"/>
  <c r="AA346" i="6"/>
  <c r="AA31" i="8" s="1"/>
  <c r="AB356" i="6"/>
  <c r="AM356" i="6" s="1"/>
  <c r="AN356" i="6" s="1"/>
  <c r="X9" i="7"/>
  <c r="Y4" i="7"/>
  <c r="AN462" i="6"/>
  <c r="W528" i="6"/>
  <c r="W49" i="8" s="1"/>
  <c r="AN301" i="6"/>
  <c r="Y40" i="8"/>
  <c r="AY454" i="6"/>
  <c r="AD454" i="6"/>
  <c r="AE454" i="6" s="1"/>
  <c r="AH198" i="6"/>
  <c r="AM198" i="6" s="1"/>
  <c r="AY198" i="6"/>
  <c r="AJ254" i="6"/>
  <c r="AN254" i="6" s="1"/>
  <c r="Y256" i="6"/>
  <c r="Y25" i="8" s="1"/>
  <c r="AC438" i="6"/>
  <c r="AY438" i="6" s="1"/>
  <c r="AY9" i="7" s="1"/>
  <c r="AG436" i="6"/>
  <c r="AY436" i="6"/>
  <c r="AE447" i="6"/>
  <c r="AE451" i="6" s="1"/>
  <c r="AJ447" i="6"/>
  <c r="AY447" i="6"/>
  <c r="AG448" i="6"/>
  <c r="AH448" i="6" s="1"/>
  <c r="AI480" i="6"/>
  <c r="Z480" i="6"/>
  <c r="AK480" i="6" s="1"/>
  <c r="AI512" i="6"/>
  <c r="Z512" i="6"/>
  <c r="AK512" i="6"/>
  <c r="AA81" i="6"/>
  <c r="AL81" i="6" s="1"/>
  <c r="AV169" i="6"/>
  <c r="AE186" i="6"/>
  <c r="AJ186" i="6" s="1"/>
  <c r="AY186" i="6"/>
  <c r="AG260" i="6"/>
  <c r="AL260" i="6" s="1"/>
  <c r="AN260" i="6" s="1"/>
  <c r="AJ379" i="6"/>
  <c r="Y381" i="6"/>
  <c r="Y35" i="8" s="1"/>
  <c r="AJ413" i="6"/>
  <c r="Y414" i="6"/>
  <c r="Y39" i="8"/>
  <c r="AY440" i="6"/>
  <c r="AI441" i="6"/>
  <c r="X451" i="6"/>
  <c r="N517" i="6"/>
  <c r="AA380" i="6"/>
  <c r="AA381" i="6" s="1"/>
  <c r="AA35" i="8" s="1"/>
  <c r="W381" i="6"/>
  <c r="AC380" i="6"/>
  <c r="R340" i="6"/>
  <c r="Y286" i="6"/>
  <c r="Y28" i="8" s="1"/>
  <c r="AB362" i="6"/>
  <c r="AM362" i="6" s="1"/>
  <c r="AC350" i="6"/>
  <c r="AC32" i="8" s="1"/>
  <c r="AG300" i="6"/>
  <c r="AL300" i="6" s="1"/>
  <c r="AG293" i="6"/>
  <c r="AL293" i="6" s="1"/>
  <c r="AN293" i="6" s="1"/>
  <c r="AG291" i="6"/>
  <c r="AG286" i="6"/>
  <c r="AG28" i="8" s="1"/>
  <c r="AC298" i="6"/>
  <c r="AY159" i="6"/>
  <c r="AV286" i="6"/>
  <c r="AW286" i="6" s="1"/>
  <c r="AV28" i="6"/>
  <c r="AF32" i="6"/>
  <c r="AY32" i="6"/>
  <c r="AE34" i="6"/>
  <c r="AJ34" i="6" s="1"/>
  <c r="AY34" i="6"/>
  <c r="R130" i="6"/>
  <c r="N145" i="6"/>
  <c r="AW161" i="6"/>
  <c r="AV162" i="6"/>
  <c r="AH197" i="6"/>
  <c r="AG197" i="6"/>
  <c r="AL197" i="6" s="1"/>
  <c r="AL216" i="6"/>
  <c r="AY265" i="6"/>
  <c r="AG265" i="6"/>
  <c r="AY288" i="6"/>
  <c r="AG288" i="6"/>
  <c r="AC302" i="6"/>
  <c r="AW371" i="6"/>
  <c r="AT433" i="6"/>
  <c r="AT8" i="7" s="1"/>
  <c r="AV438" i="6"/>
  <c r="AV9" i="7" s="1"/>
  <c r="AW437" i="6"/>
  <c r="AK500" i="6"/>
  <c r="AH500" i="6"/>
  <c r="AM500" i="6" s="1"/>
  <c r="AJ442" i="6"/>
  <c r="Y451" i="6"/>
  <c r="W12" i="7"/>
  <c r="AY156" i="6"/>
  <c r="AC157" i="6"/>
  <c r="AC16" i="8" s="1"/>
  <c r="AH184" i="6"/>
  <c r="AM184" i="6" s="1"/>
  <c r="Y335" i="6"/>
  <c r="Y30" i="8" s="1"/>
  <c r="Y24" i="6"/>
  <c r="Z526" i="6"/>
  <c r="Z528" i="6" s="1"/>
  <c r="Z49" i="8" s="1"/>
  <c r="V451" i="6"/>
  <c r="V10" i="7"/>
  <c r="AV200" i="6"/>
  <c r="AW195" i="6"/>
  <c r="AH196" i="6"/>
  <c r="AM196" i="6"/>
  <c r="AG196" i="6"/>
  <c r="AY196" i="6"/>
  <c r="AG209" i="6"/>
  <c r="AL209" i="6" s="1"/>
  <c r="AN209" i="6" s="1"/>
  <c r="AY209" i="6"/>
  <c r="AY262" i="6"/>
  <c r="AG262" i="6"/>
  <c r="AK340" i="6"/>
  <c r="AW353" i="6"/>
  <c r="R454" i="6"/>
  <c r="AI515" i="6"/>
  <c r="Z515" i="6"/>
  <c r="AK515" i="6"/>
  <c r="AF18" i="8"/>
  <c r="AD44" i="8"/>
  <c r="AD10" i="7"/>
  <c r="AJ227" i="6"/>
  <c r="AK46" i="6"/>
  <c r="AK54" i="6"/>
  <c r="AK63" i="6"/>
  <c r="AK76" i="6"/>
  <c r="R432" i="6"/>
  <c r="Y467" i="6"/>
  <c r="AJ467" i="6" s="1"/>
  <c r="AE43" i="8"/>
  <c r="AE9" i="7"/>
  <c r="AH12" i="7"/>
  <c r="AE4" i="7"/>
  <c r="W193" i="6"/>
  <c r="W19" i="8" s="1"/>
  <c r="AK256" i="6"/>
  <c r="AN60" i="6"/>
  <c r="AG139" i="6"/>
  <c r="Y249" i="6"/>
  <c r="Y24" i="8" s="1"/>
  <c r="AY270" i="6"/>
  <c r="AH278" i="6"/>
  <c r="AH26" i="8"/>
  <c r="Q298" i="6"/>
  <c r="AY294" i="6"/>
  <c r="AY303" i="6"/>
  <c r="AH313" i="6"/>
  <c r="AM313" i="6" s="1"/>
  <c r="AY321" i="6"/>
  <c r="AK412" i="6"/>
  <c r="AH412" i="6"/>
  <c r="AM412" i="6" s="1"/>
  <c r="V9" i="7"/>
  <c r="AC526" i="6"/>
  <c r="X39" i="8"/>
  <c r="X42" i="8" s="1"/>
  <c r="X433" i="6"/>
  <c r="X8" i="7" s="1"/>
  <c r="W41" i="8"/>
  <c r="AB497" i="6"/>
  <c r="AM497" i="6" s="1"/>
  <c r="AD12" i="7"/>
  <c r="AN164" i="6"/>
  <c r="Y383" i="6"/>
  <c r="AL290" i="6"/>
  <c r="Q85" i="6"/>
  <c r="AL294" i="6"/>
  <c r="AK345" i="6"/>
  <c r="AH345" i="6"/>
  <c r="AM345" i="6" s="1"/>
  <c r="AE41" i="8"/>
  <c r="AE42" i="8" s="1"/>
  <c r="AE433" i="6"/>
  <c r="AE8" i="7" s="1"/>
  <c r="AA450" i="6"/>
  <c r="AB450" i="6" s="1"/>
  <c r="AM450" i="6" s="1"/>
  <c r="AA432" i="6"/>
  <c r="AL429" i="6"/>
  <c r="W451" i="6"/>
  <c r="W44" i="8" s="1"/>
  <c r="X49" i="8"/>
  <c r="X12" i="7"/>
  <c r="AB9" i="7"/>
  <c r="X4" i="7"/>
  <c r="Q432" i="6"/>
  <c r="AH9" i="7"/>
  <c r="Z9" i="7"/>
  <c r="AF4" i="7"/>
  <c r="AI112" i="6"/>
  <c r="AK28" i="6"/>
  <c r="AN307" i="6"/>
  <c r="AA376" i="6"/>
  <c r="AA34" i="8" s="1"/>
  <c r="W9" i="7"/>
  <c r="AI286" i="6"/>
  <c r="AK438" i="6"/>
  <c r="AK9" i="7" s="1"/>
  <c r="AM432" i="6"/>
  <c r="AY184" i="6"/>
  <c r="AH186" i="6"/>
  <c r="AM186" i="6" s="1"/>
  <c r="AH45" i="6"/>
  <c r="AE79" i="6"/>
  <c r="AE101" i="6"/>
  <c r="AG148" i="6"/>
  <c r="AG177" i="6"/>
  <c r="AL177" i="6" s="1"/>
  <c r="AY235" i="6"/>
  <c r="AG13" i="6"/>
  <c r="AL13" i="6" s="1"/>
  <c r="AG21" i="6"/>
  <c r="AL21" i="6" s="1"/>
  <c r="AW288" i="6"/>
  <c r="AY148" i="6"/>
  <c r="AK42" i="6"/>
  <c r="AN42" i="6" s="1"/>
  <c r="AG273" i="6"/>
  <c r="AL273" i="6" s="1"/>
  <c r="AN273" i="6" s="1"/>
  <c r="AY273" i="6"/>
  <c r="AN232" i="6"/>
  <c r="AG505" i="6"/>
  <c r="AL505" i="6" s="1"/>
  <c r="AN143" i="6"/>
  <c r="AM162" i="6"/>
  <c r="AM298" i="6"/>
  <c r="AH426" i="6"/>
  <c r="AM426" i="6" s="1"/>
  <c r="AN431" i="6"/>
  <c r="AI526" i="6"/>
  <c r="AI528" i="6" s="1"/>
  <c r="AI12" i="7" s="1"/>
  <c r="Y460" i="6"/>
  <c r="AJ460" i="6" s="1"/>
  <c r="AN460" i="6" s="1"/>
  <c r="AL28" i="6"/>
  <c r="AN255" i="6"/>
  <c r="AN320" i="6"/>
  <c r="AI381" i="6"/>
  <c r="AM154" i="6"/>
  <c r="AK249" i="6"/>
  <c r="AL305" i="6"/>
  <c r="AY242" i="6"/>
  <c r="AC249" i="6"/>
  <c r="AC24" i="8" s="1"/>
  <c r="AL295" i="6"/>
  <c r="AN295" i="6" s="1"/>
  <c r="AM387" i="6"/>
  <c r="AY272" i="6"/>
  <c r="AM477" i="6"/>
  <c r="AY18" i="6"/>
  <c r="AH18" i="6"/>
  <c r="AM18" i="6" s="1"/>
  <c r="AL244" i="6"/>
  <c r="AY228" i="6"/>
  <c r="AY185" i="6"/>
  <c r="AM45" i="6"/>
  <c r="AH67" i="6"/>
  <c r="AH7" i="8" s="1"/>
  <c r="AG124" i="6"/>
  <c r="AL124" i="6" s="1"/>
  <c r="AY124" i="6"/>
  <c r="AY217" i="6"/>
  <c r="AG217" i="6"/>
  <c r="AL217" i="6" s="1"/>
  <c r="U346" i="6"/>
  <c r="AA298" i="6"/>
  <c r="AH366" i="6"/>
  <c r="AH33" i="8" s="1"/>
  <c r="AG312" i="6"/>
  <c r="AL312" i="6" s="1"/>
  <c r="AG421" i="6"/>
  <c r="AY90" i="6"/>
  <c r="AY266" i="6"/>
  <c r="AG266" i="6"/>
  <c r="AL266" i="6" s="1"/>
  <c r="AF77" i="6"/>
  <c r="AK77" i="6" s="1"/>
  <c r="AL89" i="6"/>
  <c r="AH178" i="6"/>
  <c r="AM178" i="6" s="1"/>
  <c r="AG178" i="6"/>
  <c r="AD386" i="6"/>
  <c r="AY386" i="6"/>
  <c r="AG445" i="6"/>
  <c r="AL445" i="6" s="1"/>
  <c r="AY445" i="6"/>
  <c r="AJ440" i="6"/>
  <c r="AY16" i="6"/>
  <c r="AY122" i="6"/>
  <c r="AH134" i="6"/>
  <c r="AM134" i="6" s="1"/>
  <c r="AY206" i="6"/>
  <c r="AY237" i="6"/>
  <c r="AY314" i="6"/>
  <c r="AG443" i="6"/>
  <c r="AH443" i="6" s="1"/>
  <c r="AN50" i="6"/>
  <c r="AG309" i="6"/>
  <c r="AL309" i="6" s="1"/>
  <c r="AN309" i="6" s="1"/>
  <c r="AY316" i="6"/>
  <c r="AE455" i="6"/>
  <c r="AJ455" i="6" s="1"/>
  <c r="AN455" i="6" s="1"/>
  <c r="AY455" i="6"/>
  <c r="AD51" i="6"/>
  <c r="AG369" i="6"/>
  <c r="AH369" i="6" s="1"/>
  <c r="AG416" i="6"/>
  <c r="AI278" i="6"/>
  <c r="AG407" i="6"/>
  <c r="AH407" i="6" s="1"/>
  <c r="AN117" i="6"/>
  <c r="AN151" i="6"/>
  <c r="AN217" i="6"/>
  <c r="AG423" i="6"/>
  <c r="AH423" i="6" s="1"/>
  <c r="AM423" i="6" s="1"/>
  <c r="AL423" i="6"/>
  <c r="AN152" i="6"/>
  <c r="AM239" i="6"/>
  <c r="AN225" i="6"/>
  <c r="AN221" i="6"/>
  <c r="AN236" i="6"/>
  <c r="AN485" i="6"/>
  <c r="AN489" i="6"/>
  <c r="AN524" i="6"/>
  <c r="AL140" i="6"/>
  <c r="AM140" i="6"/>
  <c r="AN140" i="6" s="1"/>
  <c r="AH392" i="6"/>
  <c r="AM392" i="6" s="1"/>
  <c r="AD392" i="6"/>
  <c r="AI392" i="6" s="1"/>
  <c r="AG432" i="6"/>
  <c r="AG41" i="8"/>
  <c r="AG184" i="6"/>
  <c r="AL184" i="6" s="1"/>
  <c r="AB102" i="6"/>
  <c r="AB10" i="8" s="1"/>
  <c r="AB11" i="8" s="1"/>
  <c r="AM95" i="6"/>
  <c r="AN95" i="6" s="1"/>
  <c r="AN429" i="6"/>
  <c r="AL450" i="6"/>
  <c r="X44" i="8"/>
  <c r="X10" i="7"/>
  <c r="AB517" i="6"/>
  <c r="AB518" i="6" s="1"/>
  <c r="AB11" i="7" s="1"/>
  <c r="W35" i="8"/>
  <c r="AC43" i="8"/>
  <c r="AC9" i="7"/>
  <c r="AW438" i="6"/>
  <c r="AW9" i="7" s="1"/>
  <c r="AY380" i="6"/>
  <c r="AC381" i="6"/>
  <c r="AC35" i="8" s="1"/>
  <c r="AG380" i="6"/>
  <c r="AB20" i="8"/>
  <c r="AF447" i="6"/>
  <c r="AJ101" i="6"/>
  <c r="AN147" i="6"/>
  <c r="AJ454" i="6"/>
  <c r="AG185" i="6"/>
  <c r="AL185" i="6" s="1"/>
  <c r="AD67" i="6"/>
  <c r="AI51" i="6"/>
  <c r="AE51" i="6"/>
  <c r="AA29" i="8"/>
  <c r="AL178" i="6"/>
  <c r="AN178" i="6" s="1"/>
  <c r="AH22" i="6"/>
  <c r="AH5" i="8" s="1"/>
  <c r="AB103" i="6"/>
  <c r="AB5" i="7" s="1"/>
  <c r="AJ51" i="6"/>
  <c r="AN51" i="6" s="1"/>
  <c r="AD7" i="8"/>
  <c r="R165" i="6" l="1"/>
  <c r="R169" i="6" s="1"/>
  <c r="N169" i="6"/>
  <c r="AY87" i="6"/>
  <c r="AH87" i="6"/>
  <c r="AM87" i="6" s="1"/>
  <c r="AJ526" i="6"/>
  <c r="AJ528" i="6" s="1"/>
  <c r="AJ12" i="7" s="1"/>
  <c r="AN514" i="6"/>
  <c r="AI102" i="6"/>
  <c r="AI193" i="6"/>
  <c r="AN312" i="6"/>
  <c r="AJ249" i="6"/>
  <c r="AJ169" i="6"/>
  <c r="AN65" i="6"/>
  <c r="AY134" i="6"/>
  <c r="AG134" i="6"/>
  <c r="AL134" i="6" s="1"/>
  <c r="AN134" i="6" s="1"/>
  <c r="Z278" i="6"/>
  <c r="Z26" i="8" s="1"/>
  <c r="AE264" i="6"/>
  <c r="AJ264" i="6" s="1"/>
  <c r="AY264" i="6"/>
  <c r="AY267" i="6"/>
  <c r="AF267" i="6"/>
  <c r="AK267" i="6" s="1"/>
  <c r="AN267" i="6" s="1"/>
  <c r="J278" i="6"/>
  <c r="AW300" i="6"/>
  <c r="AW335" i="6" s="1"/>
  <c r="AV335" i="6"/>
  <c r="W335" i="6"/>
  <c r="W30" i="8" s="1"/>
  <c r="X302" i="6"/>
  <c r="AI302" i="6" s="1"/>
  <c r="AI335" i="6" s="1"/>
  <c r="AI351" i="6" s="1"/>
  <c r="J335" i="6"/>
  <c r="U384" i="6"/>
  <c r="U395" i="6" s="1"/>
  <c r="T395" i="6"/>
  <c r="W32" i="8"/>
  <c r="AY32" i="8" s="1"/>
  <c r="W351" i="6"/>
  <c r="AY350" i="6"/>
  <c r="AC528" i="6"/>
  <c r="AY526" i="6"/>
  <c r="R456" i="6"/>
  <c r="N469" i="6"/>
  <c r="N518" i="6" s="1"/>
  <c r="AB444" i="6"/>
  <c r="AM444" i="6" s="1"/>
  <c r="AL444" i="6"/>
  <c r="AN444" i="6" s="1"/>
  <c r="AN500" i="6"/>
  <c r="AG126" i="6"/>
  <c r="AL126" i="6" s="1"/>
  <c r="AN126" i="6" s="1"/>
  <c r="AY126" i="6"/>
  <c r="H134" i="6"/>
  <c r="G145" i="6"/>
  <c r="Y144" i="6"/>
  <c r="AC144" i="6"/>
  <c r="AW150" i="6"/>
  <c r="AV154" i="6"/>
  <c r="AW154" i="6" s="1"/>
  <c r="AN244" i="6"/>
  <c r="AK526" i="6"/>
  <c r="AK528" i="6" s="1"/>
  <c r="AC475" i="6"/>
  <c r="AC46" i="8" s="1"/>
  <c r="AN34" i="6"/>
  <c r="AH350" i="6"/>
  <c r="AH32" i="8" s="1"/>
  <c r="AM348" i="6"/>
  <c r="AY33" i="6"/>
  <c r="AF33" i="6"/>
  <c r="AK33" i="6" s="1"/>
  <c r="AN33" i="6" s="1"/>
  <c r="AN36" i="6"/>
  <c r="AG227" i="6"/>
  <c r="AL227" i="6" s="1"/>
  <c r="AN227" i="6" s="1"/>
  <c r="AY227" i="6"/>
  <c r="AW368" i="6"/>
  <c r="AV376" i="6"/>
  <c r="R383" i="6"/>
  <c r="P395" i="6"/>
  <c r="AG327" i="6"/>
  <c r="AL327" i="6" s="1"/>
  <c r="AN327" i="6" s="1"/>
  <c r="AY327" i="6"/>
  <c r="AI239" i="6"/>
  <c r="AW69" i="6"/>
  <c r="AV71" i="6"/>
  <c r="AW71" i="6" s="1"/>
  <c r="AW376" i="6"/>
  <c r="AN175" i="6"/>
  <c r="AM249" i="6"/>
  <c r="AY190" i="6"/>
  <c r="AG190" i="6"/>
  <c r="AL190" i="6" s="1"/>
  <c r="AH190" i="6"/>
  <c r="AM190" i="6" s="1"/>
  <c r="W466" i="6"/>
  <c r="AC466" i="6"/>
  <c r="T518" i="6"/>
  <c r="AY150" i="6"/>
  <c r="AG150" i="6"/>
  <c r="AL150" i="6" s="1"/>
  <c r="AN150" i="6" s="1"/>
  <c r="AG324" i="6"/>
  <c r="AL324" i="6" s="1"/>
  <c r="AN324" i="6" s="1"/>
  <c r="AY324" i="6"/>
  <c r="X457" i="6"/>
  <c r="AI457" i="6" s="1"/>
  <c r="Y457" i="6"/>
  <c r="AJ457" i="6" s="1"/>
  <c r="AN457" i="6" s="1"/>
  <c r="AC457" i="6"/>
  <c r="AY457" i="6" s="1"/>
  <c r="AN70" i="6"/>
  <c r="AN264" i="6"/>
  <c r="AN471" i="6"/>
  <c r="AM475" i="6"/>
  <c r="AN467" i="6"/>
  <c r="Z4" i="8"/>
  <c r="AH96" i="6"/>
  <c r="AM96" i="6" s="1"/>
  <c r="AK96" i="6"/>
  <c r="AK102" i="6" s="1"/>
  <c r="R204" i="6"/>
  <c r="R210" i="6" s="1"/>
  <c r="P210" i="6"/>
  <c r="P404" i="6" s="1"/>
  <c r="AG220" i="6"/>
  <c r="AY220" i="6"/>
  <c r="AF17" i="8"/>
  <c r="AF170" i="6"/>
  <c r="AF201" i="6" s="1"/>
  <c r="AF21" i="8" s="1"/>
  <c r="AN101" i="6"/>
  <c r="AN445" i="6"/>
  <c r="Y44" i="8"/>
  <c r="Y10" i="7"/>
  <c r="AN45" i="6"/>
  <c r="AN74" i="6"/>
  <c r="AN38" i="6"/>
  <c r="AC49" i="6"/>
  <c r="X49" i="6"/>
  <c r="AI49" i="6" s="1"/>
  <c r="AY108" i="6"/>
  <c r="AG108" i="6"/>
  <c r="AG129" i="6"/>
  <c r="AL129" i="6" s="1"/>
  <c r="AY129" i="6"/>
  <c r="M200" i="6"/>
  <c r="Q195" i="6"/>
  <c r="Q200" i="6" s="1"/>
  <c r="AF278" i="6"/>
  <c r="AF26" i="8" s="1"/>
  <c r="AS351" i="6"/>
  <c r="AF311" i="6"/>
  <c r="AY311" i="6"/>
  <c r="AT518" i="6"/>
  <c r="AT11" i="7" s="1"/>
  <c r="AG521" i="6"/>
  <c r="AY521" i="6"/>
  <c r="AN459" i="6"/>
  <c r="AN186" i="6"/>
  <c r="Y526" i="6"/>
  <c r="Y528" i="6" s="1"/>
  <c r="AJ371" i="6"/>
  <c r="AJ376" i="6" s="1"/>
  <c r="Y376" i="6"/>
  <c r="Y34" i="8" s="1"/>
  <c r="I433" i="6"/>
  <c r="X456" i="6"/>
  <c r="AC456" i="6"/>
  <c r="AY456" i="6" s="1"/>
  <c r="X462" i="6"/>
  <c r="AI462" i="6" s="1"/>
  <c r="AC462" i="6"/>
  <c r="AY462" i="6" s="1"/>
  <c r="AL70" i="6"/>
  <c r="AL71" i="6" s="1"/>
  <c r="AA71" i="6"/>
  <c r="AA8" i="8" s="1"/>
  <c r="AY192" i="6"/>
  <c r="AH192" i="6"/>
  <c r="AM192" i="6" s="1"/>
  <c r="AN192" i="6" s="1"/>
  <c r="U526" i="6"/>
  <c r="U528" i="6" s="1"/>
  <c r="AM349" i="6"/>
  <c r="AN349" i="6" s="1"/>
  <c r="AB350" i="6"/>
  <c r="AA363" i="6"/>
  <c r="AA366" i="6" s="1"/>
  <c r="AA33" i="8" s="1"/>
  <c r="AN465" i="6"/>
  <c r="AN484" i="6"/>
  <c r="AN167" i="6"/>
  <c r="AG10" i="6"/>
  <c r="AL5" i="6"/>
  <c r="AN18" i="6"/>
  <c r="AL265" i="6"/>
  <c r="AN265" i="6" s="1"/>
  <c r="AW169" i="6"/>
  <c r="AN423" i="6"/>
  <c r="AV414" i="6"/>
  <c r="AW414" i="6" s="1"/>
  <c r="AN54" i="6"/>
  <c r="AL291" i="6"/>
  <c r="AN291" i="6" s="1"/>
  <c r="R502" i="6"/>
  <c r="AN81" i="6"/>
  <c r="AN480" i="6"/>
  <c r="AL436" i="6"/>
  <c r="AN436" i="6" s="1"/>
  <c r="AG138" i="6"/>
  <c r="AL138" i="6" s="1"/>
  <c r="AI481" i="6"/>
  <c r="AP518" i="6"/>
  <c r="AP11" i="7" s="1"/>
  <c r="Q10" i="6"/>
  <c r="AK40" i="6"/>
  <c r="K145" i="6"/>
  <c r="K170" i="6" s="1"/>
  <c r="K201" i="6" s="1"/>
  <c r="AF337" i="6"/>
  <c r="AK337" i="6" s="1"/>
  <c r="AK346" i="6" s="1"/>
  <c r="AY337" i="6"/>
  <c r="AY343" i="6"/>
  <c r="AF343" i="6"/>
  <c r="AK343" i="6" s="1"/>
  <c r="W366" i="6"/>
  <c r="W33" i="8" s="1"/>
  <c r="AH388" i="6"/>
  <c r="AM388" i="6" s="1"/>
  <c r="AN388" i="6" s="1"/>
  <c r="AD388" i="6"/>
  <c r="AI388" i="6" s="1"/>
  <c r="R416" i="6"/>
  <c r="R427" i="6" s="1"/>
  <c r="N427" i="6"/>
  <c r="N433" i="6" s="1"/>
  <c r="AN486" i="6"/>
  <c r="AW522" i="6"/>
  <c r="AV526" i="6"/>
  <c r="AK71" i="6"/>
  <c r="AK112" i="6"/>
  <c r="AM67" i="6"/>
  <c r="AN46" i="6"/>
  <c r="AM28" i="6"/>
  <c r="AN168" i="6"/>
  <c r="AN219" i="6"/>
  <c r="AN216" i="6"/>
  <c r="Y9" i="7"/>
  <c r="AH138" i="6"/>
  <c r="AM138" i="6" s="1"/>
  <c r="AI393" i="6"/>
  <c r="AN16" i="6"/>
  <c r="AK30" i="6"/>
  <c r="AN30" i="6" s="1"/>
  <c r="T335" i="6"/>
  <c r="T351" i="6" s="1"/>
  <c r="T404" i="6" s="1"/>
  <c r="AK315" i="6"/>
  <c r="AN315" i="6" s="1"/>
  <c r="AY325" i="6"/>
  <c r="AU404" i="6"/>
  <c r="AU7" i="7" s="1"/>
  <c r="AW383" i="6"/>
  <c r="AV395" i="6"/>
  <c r="AW395" i="6" s="1"/>
  <c r="AK391" i="6"/>
  <c r="Z395" i="6"/>
  <c r="Z36" i="8" s="1"/>
  <c r="W395" i="6"/>
  <c r="W36" i="8" s="1"/>
  <c r="X394" i="6"/>
  <c r="Y394" i="6" s="1"/>
  <c r="AJ394" i="6" s="1"/>
  <c r="AN394" i="6" s="1"/>
  <c r="AH478" i="6"/>
  <c r="AM478" i="6" s="1"/>
  <c r="AY478" i="6"/>
  <c r="AN180" i="6"/>
  <c r="AN463" i="6"/>
  <c r="AN478" i="6"/>
  <c r="AN76" i="6"/>
  <c r="AI385" i="6"/>
  <c r="AN63" i="6"/>
  <c r="AN224" i="6"/>
  <c r="AH425" i="6"/>
  <c r="AM425" i="6" s="1"/>
  <c r="AM369" i="6"/>
  <c r="AC451" i="6"/>
  <c r="AB12" i="7"/>
  <c r="AD103" i="6"/>
  <c r="AD5" i="7" s="1"/>
  <c r="AG425" i="6"/>
  <c r="AL425" i="6" s="1"/>
  <c r="AB192" i="6"/>
  <c r="AB193" i="6" s="1"/>
  <c r="AB19" i="8" s="1"/>
  <c r="AL448" i="6"/>
  <c r="AY5" i="6"/>
  <c r="AY69" i="6"/>
  <c r="AN304" i="6"/>
  <c r="AC463" i="6"/>
  <c r="AY463" i="6" s="1"/>
  <c r="R376" i="6"/>
  <c r="L22" i="6"/>
  <c r="V103" i="6"/>
  <c r="V5" i="7" s="1"/>
  <c r="AG181" i="6"/>
  <c r="AL181" i="6" s="1"/>
  <c r="AY181" i="6"/>
  <c r="Z210" i="6"/>
  <c r="Z22" i="8" s="1"/>
  <c r="R298" i="6"/>
  <c r="U298" i="6"/>
  <c r="J346" i="6"/>
  <c r="J351" i="6" s="1"/>
  <c r="AC363" i="6"/>
  <c r="AG363" i="6" s="1"/>
  <c r="L414" i="6"/>
  <c r="Q414" i="6"/>
  <c r="R436" i="6"/>
  <c r="P438" i="6"/>
  <c r="R441" i="6"/>
  <c r="R451" i="6" s="1"/>
  <c r="N451" i="6"/>
  <c r="AW475" i="6"/>
  <c r="AN503" i="6"/>
  <c r="AN177" i="6"/>
  <c r="AL380" i="6"/>
  <c r="AL381" i="6" s="1"/>
  <c r="AN345" i="6"/>
  <c r="AM448" i="6"/>
  <c r="I200" i="6"/>
  <c r="J195" i="6"/>
  <c r="J200" i="6" s="1"/>
  <c r="AP351" i="6"/>
  <c r="R475" i="6"/>
  <c r="X475" i="6"/>
  <c r="X46" i="8" s="1"/>
  <c r="AL310" i="6"/>
  <c r="AN310" i="6" s="1"/>
  <c r="AN235" i="6"/>
  <c r="G351" i="6"/>
  <c r="G404" i="6" s="1"/>
  <c r="AN14" i="6"/>
  <c r="AI10" i="6"/>
  <c r="AI4" i="7" s="1"/>
  <c r="AN389" i="6"/>
  <c r="AN397" i="6"/>
  <c r="AN399" i="6"/>
  <c r="AN410" i="6"/>
  <c r="AI432" i="6"/>
  <c r="AN506" i="6"/>
  <c r="R438" i="6"/>
  <c r="AN48" i="6"/>
  <c r="S170" i="6"/>
  <c r="S201" i="6" s="1"/>
  <c r="AI156" i="6"/>
  <c r="AI157" i="6" s="1"/>
  <c r="O170" i="6"/>
  <c r="O201" i="6" s="1"/>
  <c r="AR170" i="6"/>
  <c r="AR201" i="6" s="1"/>
  <c r="AR6" i="7" s="1"/>
  <c r="H193" i="6"/>
  <c r="AW200" i="6"/>
  <c r="AL210" i="6"/>
  <c r="AL219" i="6"/>
  <c r="J249" i="6"/>
  <c r="AY295" i="6"/>
  <c r="AU518" i="6"/>
  <c r="AU11" i="7" s="1"/>
  <c r="AN166" i="6"/>
  <c r="AN169" i="6" s="1"/>
  <c r="AN247" i="6"/>
  <c r="W433" i="6"/>
  <c r="W8" i="7" s="1"/>
  <c r="AN69" i="6"/>
  <c r="AN82" i="6"/>
  <c r="AN98" i="6"/>
  <c r="AN269" i="6"/>
  <c r="AM286" i="6"/>
  <c r="J67" i="6"/>
  <c r="J103" i="6" s="1"/>
  <c r="AN41" i="6"/>
  <c r="AN44" i="6"/>
  <c r="AN93" i="6"/>
  <c r="I103" i="6"/>
  <c r="AQ103" i="6"/>
  <c r="AQ5" i="7" s="1"/>
  <c r="J112" i="6"/>
  <c r="R127" i="6"/>
  <c r="AV193" i="6"/>
  <c r="AW193" i="6" s="1"/>
  <c r="U249" i="6"/>
  <c r="AC286" i="6"/>
  <c r="AL318" i="6"/>
  <c r="AN318" i="6" s="1"/>
  <c r="AN374" i="6"/>
  <c r="Y403" i="6"/>
  <c r="Y37" i="8" s="1"/>
  <c r="AV432" i="6"/>
  <c r="AW432" i="6" s="1"/>
  <c r="AM172" i="6"/>
  <c r="AN199" i="6"/>
  <c r="AA403" i="6"/>
  <c r="AA37" i="8" s="1"/>
  <c r="AI71" i="6"/>
  <c r="AN91" i="6"/>
  <c r="AK154" i="6"/>
  <c r="AM169" i="6"/>
  <c r="AM282" i="6"/>
  <c r="AI350" i="6"/>
  <c r="AN509" i="6"/>
  <c r="AJ88" i="6"/>
  <c r="AN88" i="6" s="1"/>
  <c r="W28" i="6"/>
  <c r="Q28" i="6"/>
  <c r="W67" i="6"/>
  <c r="U67" i="6"/>
  <c r="AJ62" i="6"/>
  <c r="AN62" i="6" s="1"/>
  <c r="Y127" i="6"/>
  <c r="Y13" i="8" s="1"/>
  <c r="J154" i="6"/>
  <c r="U154" i="6"/>
  <c r="U286" i="6"/>
  <c r="R395" i="6"/>
  <c r="J433" i="6"/>
  <c r="G433" i="6"/>
  <c r="AL148" i="6"/>
  <c r="AN148" i="6" s="1"/>
  <c r="AL173" i="6"/>
  <c r="AN173" i="6" s="1"/>
  <c r="AA438" i="6"/>
  <c r="AI282" i="6"/>
  <c r="AI298" i="6"/>
  <c r="AJ366" i="6"/>
  <c r="AL85" i="6"/>
  <c r="AG366" i="6"/>
  <c r="AG33" i="8" s="1"/>
  <c r="AC15" i="6"/>
  <c r="AY15" i="6" s="1"/>
  <c r="Y15" i="6"/>
  <c r="Y22" i="6" s="1"/>
  <c r="Y5" i="8" s="1"/>
  <c r="AE276" i="6"/>
  <c r="AJ276" i="6" s="1"/>
  <c r="AN276" i="6" s="1"/>
  <c r="AY276" i="6"/>
  <c r="Q249" i="6"/>
  <c r="AY399" i="6"/>
  <c r="AC403" i="6"/>
  <c r="AC37" i="8" s="1"/>
  <c r="AY37" i="8" s="1"/>
  <c r="AY409" i="6"/>
  <c r="AC414" i="6"/>
  <c r="AC39" i="8" s="1"/>
  <c r="AY39" i="8" s="1"/>
  <c r="Q145" i="6"/>
  <c r="AK10" i="6"/>
  <c r="AK4" i="7" s="1"/>
  <c r="AN7" i="6"/>
  <c r="AN495" i="6"/>
  <c r="AE102" i="6"/>
  <c r="AE10" i="8" s="1"/>
  <c r="AN501" i="6"/>
  <c r="Z102" i="6"/>
  <c r="Z10" i="8" s="1"/>
  <c r="Q102" i="6"/>
  <c r="AV112" i="6"/>
  <c r="AG183" i="6"/>
  <c r="AL183" i="6" s="1"/>
  <c r="AN183" i="6" s="1"/>
  <c r="AY183" i="6"/>
  <c r="AG360" i="6"/>
  <c r="AL360" i="6" s="1"/>
  <c r="AN360" i="6" s="1"/>
  <c r="AY360" i="6"/>
  <c r="AY374" i="6"/>
  <c r="Q208" i="6"/>
  <c r="Q210" i="6" s="1"/>
  <c r="K351" i="6"/>
  <c r="K404" i="6" s="1"/>
  <c r="AC107" i="6"/>
  <c r="AY420" i="6"/>
  <c r="AG420" i="6"/>
  <c r="AY31" i="6"/>
  <c r="AE31" i="6"/>
  <c r="AJ31" i="6" s="1"/>
  <c r="AN31" i="6" s="1"/>
  <c r="U102" i="6"/>
  <c r="AP170" i="6"/>
  <c r="AW156" i="6"/>
  <c r="AV157" i="6"/>
  <c r="AW157" i="6" s="1"/>
  <c r="AY323" i="6"/>
  <c r="AG323" i="6"/>
  <c r="AL323" i="6" s="1"/>
  <c r="AY326" i="6"/>
  <c r="AG326" i="6"/>
  <c r="AL326" i="6" s="1"/>
  <c r="AN326" i="6" s="1"/>
  <c r="AT351" i="6"/>
  <c r="AY368" i="6"/>
  <c r="AG368" i="6"/>
  <c r="AL368" i="6" s="1"/>
  <c r="AN100" i="6"/>
  <c r="AD18" i="8"/>
  <c r="AD170" i="6"/>
  <c r="AD201" i="6" s="1"/>
  <c r="AF39" i="8"/>
  <c r="AF433" i="6"/>
  <c r="AF8" i="7" s="1"/>
  <c r="AF49" i="8"/>
  <c r="AF12" i="7"/>
  <c r="AL523" i="6"/>
  <c r="AN523" i="6" s="1"/>
  <c r="AA526" i="6"/>
  <c r="AA528" i="6" s="1"/>
  <c r="AA248" i="6"/>
  <c r="AL248" i="6" s="1"/>
  <c r="AN248" i="6" s="1"/>
  <c r="AN87" i="6"/>
  <c r="AI451" i="6"/>
  <c r="AI10" i="7" s="1"/>
  <c r="AJ475" i="6"/>
  <c r="AW298" i="6"/>
  <c r="AG137" i="6"/>
  <c r="AY137" i="6"/>
  <c r="AY173" i="6"/>
  <c r="V193" i="6"/>
  <c r="AN522" i="6"/>
  <c r="AN111" i="6"/>
  <c r="AA85" i="6"/>
  <c r="AA9" i="8" s="1"/>
  <c r="AN401" i="6"/>
  <c r="AJ517" i="6"/>
  <c r="AV298" i="6"/>
  <c r="P154" i="6"/>
  <c r="P170" i="6" s="1"/>
  <c r="AK278" i="6"/>
  <c r="AA169" i="6"/>
  <c r="AA18" i="8" s="1"/>
  <c r="AY315" i="6"/>
  <c r="W249" i="6"/>
  <c r="AE19" i="6"/>
  <c r="AJ19" i="6" s="1"/>
  <c r="AY19" i="6"/>
  <c r="H103" i="6"/>
  <c r="S103" i="6"/>
  <c r="AW337" i="6"/>
  <c r="AW346" i="6" s="1"/>
  <c r="AW351" i="6" s="1"/>
  <c r="AV346" i="6"/>
  <c r="AC346" i="6"/>
  <c r="AY340" i="6"/>
  <c r="AW444" i="6"/>
  <c r="AV451" i="6"/>
  <c r="AD4" i="8"/>
  <c r="AD4" i="7"/>
  <c r="AA154" i="6"/>
  <c r="AA15" i="8" s="1"/>
  <c r="AL234" i="6"/>
  <c r="AN234" i="6" s="1"/>
  <c r="AA239" i="6"/>
  <c r="AA23" i="8" s="1"/>
  <c r="AJ13" i="6"/>
  <c r="O404" i="6"/>
  <c r="AY322" i="6"/>
  <c r="AG322" i="6"/>
  <c r="AL322" i="6" s="1"/>
  <c r="AN322" i="6" s="1"/>
  <c r="Q433" i="6"/>
  <c r="R433" i="6"/>
  <c r="U301" i="6"/>
  <c r="U335" i="6" s="1"/>
  <c r="J239" i="6"/>
  <c r="AN525" i="6"/>
  <c r="AY16" i="8"/>
  <c r="AE66" i="6"/>
  <c r="AJ66" i="6" s="1"/>
  <c r="AF66" i="6"/>
  <c r="AK66" i="6" s="1"/>
  <c r="H112" i="6"/>
  <c r="U127" i="6"/>
  <c r="AL440" i="6"/>
  <c r="AB440" i="6"/>
  <c r="AM440" i="6" s="1"/>
  <c r="AB422" i="6"/>
  <c r="AM422" i="6" s="1"/>
  <c r="AL422" i="6"/>
  <c r="AN422" i="6" s="1"/>
  <c r="AN493" i="6"/>
  <c r="AN502" i="6"/>
  <c r="AV127" i="6"/>
  <c r="AC278" i="6"/>
  <c r="AY278" i="6" s="1"/>
  <c r="AY94" i="6"/>
  <c r="AH94" i="6"/>
  <c r="AM94" i="6" s="1"/>
  <c r="AN94" i="6" s="1"/>
  <c r="AG97" i="6"/>
  <c r="AL97" i="6" s="1"/>
  <c r="AH97" i="6"/>
  <c r="AM97" i="6" s="1"/>
  <c r="AN97" i="6" s="1"/>
  <c r="AY97" i="6"/>
  <c r="AJ364" i="6"/>
  <c r="AN364" i="6" s="1"/>
  <c r="AE366" i="6"/>
  <c r="AE33" i="8" s="1"/>
  <c r="AG210" i="6"/>
  <c r="AG22" i="8" s="1"/>
  <c r="AG187" i="6"/>
  <c r="AL187" i="6" s="1"/>
  <c r="W10" i="7"/>
  <c r="AY204" i="6"/>
  <c r="AI386" i="6"/>
  <c r="AN77" i="6"/>
  <c r="AY24" i="6"/>
  <c r="AJ381" i="6"/>
  <c r="AG346" i="6"/>
  <c r="AG31" i="8" s="1"/>
  <c r="AG153" i="6"/>
  <c r="AL153" i="6" s="1"/>
  <c r="AN153" i="6" s="1"/>
  <c r="X466" i="6"/>
  <c r="W469" i="6"/>
  <c r="W45" i="8" s="1"/>
  <c r="W48" i="8" s="1"/>
  <c r="Y466" i="6"/>
  <c r="Q67" i="6"/>
  <c r="N282" i="6"/>
  <c r="N351" i="6" s="1"/>
  <c r="R281" i="6"/>
  <c r="R282" i="6" s="1"/>
  <c r="AC366" i="6"/>
  <c r="AY466" i="6"/>
  <c r="AC517" i="6"/>
  <c r="AC47" i="8" s="1"/>
  <c r="AK499" i="6"/>
  <c r="AH499" i="6"/>
  <c r="AM499" i="6" s="1"/>
  <c r="AB32" i="8"/>
  <c r="AB351" i="6"/>
  <c r="AJ237" i="6"/>
  <c r="Y239" i="6"/>
  <c r="Y23" i="8" s="1"/>
  <c r="AP404" i="6"/>
  <c r="AP7" i="7" s="1"/>
  <c r="AW249" i="6"/>
  <c r="AR404" i="6"/>
  <c r="AR7" i="7" s="1"/>
  <c r="AR351" i="6"/>
  <c r="R249" i="6"/>
  <c r="AN510" i="6"/>
  <c r="AN515" i="6"/>
  <c r="AH204" i="6"/>
  <c r="AG198" i="6"/>
  <c r="AL198" i="6" s="1"/>
  <c r="AN198" i="6" s="1"/>
  <c r="AB107" i="6"/>
  <c r="AB112" i="6" s="1"/>
  <c r="AB12" i="8" s="1"/>
  <c r="AA107" i="6"/>
  <c r="W112" i="6"/>
  <c r="W12" i="8" s="1"/>
  <c r="AH119" i="6"/>
  <c r="AM119" i="6" s="1"/>
  <c r="AN119" i="6" s="1"/>
  <c r="AY119" i="6"/>
  <c r="X169" i="6"/>
  <c r="X18" i="8" s="1"/>
  <c r="AI164" i="6"/>
  <c r="AI169" i="6" s="1"/>
  <c r="AH384" i="6"/>
  <c r="AM384" i="6" s="1"/>
  <c r="AD384" i="6"/>
  <c r="AI384" i="6" s="1"/>
  <c r="AD43" i="8"/>
  <c r="AD9" i="7"/>
  <c r="AN385" i="6"/>
  <c r="AY9" i="6"/>
  <c r="W22" i="6"/>
  <c r="W5" i="8" s="1"/>
  <c r="AY384" i="6"/>
  <c r="AC35" i="6"/>
  <c r="AY35" i="6" s="1"/>
  <c r="X35" i="6"/>
  <c r="AG92" i="6"/>
  <c r="AY92" i="6"/>
  <c r="AH132" i="6"/>
  <c r="AM132" i="6" s="1"/>
  <c r="AG132" i="6"/>
  <c r="AL132" i="6" s="1"/>
  <c r="AY142" i="6"/>
  <c r="AG142" i="6"/>
  <c r="AL142" i="6" s="1"/>
  <c r="AH142" i="6"/>
  <c r="AM142" i="6" s="1"/>
  <c r="AB47" i="8"/>
  <c r="AB48" i="8" s="1"/>
  <c r="AG381" i="6"/>
  <c r="AG35" i="8" s="1"/>
  <c r="AY35" i="8"/>
  <c r="AM22" i="6"/>
  <c r="AN185" i="6"/>
  <c r="AY157" i="6"/>
  <c r="AL432" i="6"/>
  <c r="AH5" i="6"/>
  <c r="Y461" i="6"/>
  <c r="AJ461" i="6" s="1"/>
  <c r="AN461" i="6" s="1"/>
  <c r="AF346" i="6"/>
  <c r="AF31" i="8" s="1"/>
  <c r="AC376" i="6"/>
  <c r="AA517" i="6"/>
  <c r="AN412" i="6"/>
  <c r="AT239" i="6"/>
  <c r="AT404" i="6" s="1"/>
  <c r="AT7" i="7" s="1"/>
  <c r="AD351" i="6"/>
  <c r="AA427" i="6"/>
  <c r="AA40" i="8" s="1"/>
  <c r="AL363" i="6"/>
  <c r="AN363" i="6" s="1"/>
  <c r="AI394" i="6"/>
  <c r="R521" i="6"/>
  <c r="U22" i="6"/>
  <c r="AY252" i="6"/>
  <c r="AG252" i="6"/>
  <c r="AC256" i="6"/>
  <c r="AW278" i="6"/>
  <c r="L518" i="6"/>
  <c r="AN505" i="6"/>
  <c r="R517" i="6"/>
  <c r="AW102" i="6"/>
  <c r="T103" i="6"/>
  <c r="R154" i="6"/>
  <c r="AU170" i="6"/>
  <c r="AU201" i="6" s="1"/>
  <c r="AU6" i="7" s="1"/>
  <c r="J210" i="6"/>
  <c r="U239" i="6"/>
  <c r="AN482" i="6"/>
  <c r="AA331" i="6"/>
  <c r="AC331" i="6"/>
  <c r="AC335" i="6" s="1"/>
  <c r="AL350" i="6"/>
  <c r="AG517" i="6"/>
  <c r="AG47" i="8" s="1"/>
  <c r="AG48" i="8" s="1"/>
  <c r="AN512" i="6"/>
  <c r="AJ256" i="6"/>
  <c r="U433" i="6"/>
  <c r="Z85" i="6"/>
  <c r="Z9" i="8" s="1"/>
  <c r="AW127" i="6"/>
  <c r="U145" i="6"/>
  <c r="Q154" i="6"/>
  <c r="Q239" i="6"/>
  <c r="R239" i="6"/>
  <c r="AF48" i="8"/>
  <c r="AB407" i="6"/>
  <c r="AB414" i="6" s="1"/>
  <c r="AB39" i="8" s="1"/>
  <c r="AA414" i="6"/>
  <c r="AA39" i="8" s="1"/>
  <c r="AY298" i="6"/>
  <c r="H433" i="6"/>
  <c r="AE17" i="6"/>
  <c r="J145" i="6"/>
  <c r="L145" i="6"/>
  <c r="W169" i="6"/>
  <c r="W18" i="8" s="1"/>
  <c r="AC167" i="6"/>
  <c r="AY167" i="6" s="1"/>
  <c r="AJ430" i="6"/>
  <c r="AJ432" i="6" s="1"/>
  <c r="AN442" i="6"/>
  <c r="AN362" i="6"/>
  <c r="AN84" i="6"/>
  <c r="AC195" i="6"/>
  <c r="AY195" i="6"/>
  <c r="AN223" i="6"/>
  <c r="R278" i="6"/>
  <c r="AK333" i="6"/>
  <c r="AH333" i="6"/>
  <c r="Q427" i="6"/>
  <c r="AF47" i="8"/>
  <c r="AF518" i="6"/>
  <c r="AF11" i="7" s="1"/>
  <c r="AN122" i="6"/>
  <c r="AN290" i="6"/>
  <c r="AN292" i="6"/>
  <c r="AN294" i="6"/>
  <c r="AN300" i="6"/>
  <c r="AR103" i="6"/>
  <c r="AR5" i="7" s="1"/>
  <c r="AK83" i="6"/>
  <c r="AN83" i="6" s="1"/>
  <c r="AQ170" i="6"/>
  <c r="AQ201" i="6" s="1"/>
  <c r="AQ6" i="7" s="1"/>
  <c r="AC127" i="6"/>
  <c r="AC13" i="8" s="1"/>
  <c r="AY13" i="8" s="1"/>
  <c r="L127" i="6"/>
  <c r="P351" i="6"/>
  <c r="AN215" i="6"/>
  <c r="AN321" i="6"/>
  <c r="AN323" i="6"/>
  <c r="AN337" i="6"/>
  <c r="AN339" i="6"/>
  <c r="AN341" i="6"/>
  <c r="Q127" i="6"/>
  <c r="L351" i="6"/>
  <c r="Q335" i="6"/>
  <c r="AC329" i="6"/>
  <c r="AY329" i="6"/>
  <c r="Q376" i="6"/>
  <c r="R403" i="6"/>
  <c r="AS433" i="6"/>
  <c r="AS8" i="7" s="1"/>
  <c r="AR433" i="6"/>
  <c r="AR8" i="7" s="1"/>
  <c r="AN302" i="6"/>
  <c r="AM366" i="6"/>
  <c r="AN357" i="6"/>
  <c r="AN359" i="6"/>
  <c r="AN361" i="6"/>
  <c r="AN365" i="6"/>
  <c r="AI376" i="6"/>
  <c r="AN372" i="6"/>
  <c r="AN375" i="6"/>
  <c r="AN380" i="6"/>
  <c r="AN386" i="6"/>
  <c r="AN393" i="6"/>
  <c r="AI403" i="6"/>
  <c r="AN402" i="6"/>
  <c r="AN408" i="6"/>
  <c r="AI414" i="6"/>
  <c r="AI427" i="6"/>
  <c r="AN425" i="6"/>
  <c r="AJ281" i="6"/>
  <c r="AN281" i="6" s="1"/>
  <c r="AN243" i="6"/>
  <c r="Q22" i="6"/>
  <c r="N22" i="6"/>
  <c r="AN80" i="6"/>
  <c r="M103" i="6"/>
  <c r="Q112" i="6"/>
  <c r="U112" i="6"/>
  <c r="AN191" i="6"/>
  <c r="Z200" i="6"/>
  <c r="Z20" i="8" s="1"/>
  <c r="AV210" i="6"/>
  <c r="AW210" i="6" s="1"/>
  <c r="AQ404" i="6"/>
  <c r="AQ7" i="7" s="1"/>
  <c r="AL220" i="6"/>
  <c r="AN220" i="6" s="1"/>
  <c r="N278" i="6"/>
  <c r="J518" i="6"/>
  <c r="AT103" i="6"/>
  <c r="AT5" i="7" s="1"/>
  <c r="G170" i="6"/>
  <c r="R145" i="6"/>
  <c r="T145" i="6"/>
  <c r="T170" i="6" s="1"/>
  <c r="T201" i="6" s="1"/>
  <c r="H145" i="6"/>
  <c r="I170" i="6"/>
  <c r="Q193" i="6"/>
  <c r="R193" i="6"/>
  <c r="AN187" i="6"/>
  <c r="R195" i="6"/>
  <c r="R200" i="6" s="1"/>
  <c r="I351" i="6"/>
  <c r="I404" i="6" s="1"/>
  <c r="H346" i="6"/>
  <c r="Q366" i="6"/>
  <c r="AR518" i="6"/>
  <c r="AA200" i="6"/>
  <c r="AA20" i="8" s="1"/>
  <c r="S351" i="6"/>
  <c r="S404" i="6" s="1"/>
  <c r="AJ263" i="6"/>
  <c r="AN263" i="6" s="1"/>
  <c r="AJ274" i="6"/>
  <c r="AN274" i="6" s="1"/>
  <c r="AL303" i="6"/>
  <c r="AN303" i="6" s="1"/>
  <c r="R335" i="6"/>
  <c r="AN305" i="6"/>
  <c r="AV403" i="6"/>
  <c r="AW403" i="6" s="1"/>
  <c r="AY459" i="6"/>
  <c r="AI474" i="6"/>
  <c r="AI475" i="6" s="1"/>
  <c r="AL139" i="6"/>
  <c r="Y517" i="6"/>
  <c r="Y47" i="8" s="1"/>
  <c r="AJ71" i="6"/>
  <c r="AN71" i="6" s="1"/>
  <c r="AM85" i="6"/>
  <c r="AI85" i="6"/>
  <c r="AI22" i="6"/>
  <c r="AL282" i="6"/>
  <c r="AL316" i="6"/>
  <c r="AN316" i="6" s="1"/>
  <c r="AQ351" i="6"/>
  <c r="U376" i="6"/>
  <c r="Q395" i="6"/>
  <c r="T433" i="6"/>
  <c r="AU433" i="6"/>
  <c r="AU8" i="7" s="1"/>
  <c r="AJ162" i="6"/>
  <c r="AK210" i="6"/>
  <c r="AI210" i="6"/>
  <c r="AN334" i="6"/>
  <c r="AN338" i="6"/>
  <c r="AN342" i="6"/>
  <c r="AN355" i="6"/>
  <c r="AI366" i="6"/>
  <c r="AN373" i="6"/>
  <c r="AB376" i="6"/>
  <c r="AB34" i="8" s="1"/>
  <c r="AN379" i="6"/>
  <c r="AL395" i="6"/>
  <c r="AN418" i="6"/>
  <c r="AB427" i="6"/>
  <c r="AM469" i="6"/>
  <c r="AL469" i="6"/>
  <c r="AN464" i="6"/>
  <c r="AK469" i="6"/>
  <c r="AN473" i="6"/>
  <c r="AN475" i="6" s="1"/>
  <c r="AL517" i="6"/>
  <c r="Q286" i="6"/>
  <c r="U427" i="6"/>
  <c r="P469" i="6"/>
  <c r="P518" i="6" s="1"/>
  <c r="R466" i="6"/>
  <c r="R469" i="6" s="1"/>
  <c r="AS518" i="6"/>
  <c r="AS11" i="7" s="1"/>
  <c r="H526" i="6"/>
  <c r="H528" i="6" s="1"/>
  <c r="AD42" i="8"/>
  <c r="Q403" i="6"/>
  <c r="R414" i="6"/>
  <c r="Q517" i="6"/>
  <c r="Q518" i="6" s="1"/>
  <c r="AO518" i="6"/>
  <c r="AO11" i="7" s="1"/>
  <c r="AK21" i="8"/>
  <c r="AL21" i="8"/>
  <c r="L11" i="8"/>
  <c r="AY17" i="8"/>
  <c r="AF42" i="8"/>
  <c r="K21" i="8"/>
  <c r="AU21" i="8"/>
  <c r="AW24" i="8"/>
  <c r="AW33" i="8"/>
  <c r="AT38" i="8"/>
  <c r="Z42" i="8"/>
  <c r="W42" i="8"/>
  <c r="P11" i="8"/>
  <c r="I38" i="8"/>
  <c r="I50" i="8" s="1"/>
  <c r="AQ48" i="8"/>
  <c r="AW49" i="8"/>
  <c r="AW22" i="8"/>
  <c r="L42" i="8"/>
  <c r="T38" i="8"/>
  <c r="AO42" i="8"/>
  <c r="AU48" i="8"/>
  <c r="AV21" i="8"/>
  <c r="Q42" i="8"/>
  <c r="AM48" i="8"/>
  <c r="R38" i="8"/>
  <c r="AN38" i="8"/>
  <c r="AL11" i="8"/>
  <c r="J21" i="8"/>
  <c r="AI21" i="8"/>
  <c r="AW35" i="8"/>
  <c r="AW7" i="8"/>
  <c r="P38" i="8"/>
  <c r="H48" i="8"/>
  <c r="Q48" i="8"/>
  <c r="Q50" i="8" s="1"/>
  <c r="AK11" i="8"/>
  <c r="Y42" i="8"/>
  <c r="AJ48" i="8"/>
  <c r="AI48" i="8"/>
  <c r="R42" i="8"/>
  <c r="AV11" i="8"/>
  <c r="AK38" i="8"/>
  <c r="N48" i="8"/>
  <c r="J38" i="8"/>
  <c r="AY46" i="8"/>
  <c r="AN21" i="8"/>
  <c r="AD11" i="8"/>
  <c r="AY43" i="8"/>
  <c r="AN48" i="8"/>
  <c r="R21" i="8"/>
  <c r="AW5" i="8"/>
  <c r="AK48" i="8"/>
  <c r="AK50" i="8" s="1"/>
  <c r="AV38" i="8"/>
  <c r="P48" i="8"/>
  <c r="AJ21" i="8"/>
  <c r="AW4" i="8"/>
  <c r="AW6" i="8"/>
  <c r="AS11" i="8"/>
  <c r="AW16" i="8"/>
  <c r="AW18" i="8"/>
  <c r="AO21" i="8"/>
  <c r="L38" i="8"/>
  <c r="V38" i="8"/>
  <c r="AU42" i="8"/>
  <c r="U42" i="8"/>
  <c r="O42" i="8"/>
  <c r="AW43" i="8"/>
  <c r="J48" i="8"/>
  <c r="AW45" i="8"/>
  <c r="I48" i="8"/>
  <c r="K48" i="8"/>
  <c r="AR48" i="8"/>
  <c r="N11" i="8"/>
  <c r="T48" i="8"/>
  <c r="AN11" i="8"/>
  <c r="AL42" i="8"/>
  <c r="AL50" i="8" s="1"/>
  <c r="AM38" i="8"/>
  <c r="AM50" i="8" s="1"/>
  <c r="U48" i="8"/>
  <c r="AM11" i="8"/>
  <c r="Q38" i="8"/>
  <c r="S13" i="7"/>
  <c r="N13" i="7"/>
  <c r="G13" i="7"/>
  <c r="H13" i="7"/>
  <c r="Q13" i="7"/>
  <c r="U13" i="7"/>
  <c r="R13" i="7"/>
  <c r="I13" i="7"/>
  <c r="J13" i="7"/>
  <c r="M13" i="7"/>
  <c r="AL67" i="6"/>
  <c r="AN57" i="6"/>
  <c r="AO38" i="8"/>
  <c r="AP48" i="8"/>
  <c r="AW46" i="8"/>
  <c r="Y10" i="8"/>
  <c r="AL149" i="6"/>
  <c r="AM197" i="6"/>
  <c r="AL407" i="6"/>
  <c r="AN369" i="6"/>
  <c r="AW103" i="6"/>
  <c r="AW5" i="7" s="1"/>
  <c r="AN417" i="6"/>
  <c r="AK427" i="6"/>
  <c r="J11" i="8"/>
  <c r="AR38" i="8"/>
  <c r="G38" i="8"/>
  <c r="G50" i="8" s="1"/>
  <c r="AJ451" i="6"/>
  <c r="AJ10" i="7" s="1"/>
  <c r="AN13" i="6"/>
  <c r="I11" i="8"/>
  <c r="AK12" i="7"/>
  <c r="X517" i="6"/>
  <c r="AI496" i="6"/>
  <c r="AW135" i="6"/>
  <c r="AV145" i="6"/>
  <c r="AW145" i="6" s="1"/>
  <c r="AM114" i="6"/>
  <c r="AB127" i="6"/>
  <c r="AB13" i="8" s="1"/>
  <c r="AY8" i="8"/>
  <c r="V11" i="8"/>
  <c r="AQ42" i="8"/>
  <c r="AW39" i="8"/>
  <c r="V48" i="8"/>
  <c r="AY47" i="8"/>
  <c r="AW47" i="8"/>
  <c r="AV48" i="8"/>
  <c r="AL421" i="6"/>
  <c r="AH421" i="6"/>
  <c r="AM421" i="6" s="1"/>
  <c r="O11" i="8"/>
  <c r="O50" i="8" s="1"/>
  <c r="M38" i="8"/>
  <c r="M50" i="8" s="1"/>
  <c r="S48" i="8"/>
  <c r="S50" i="8" s="1"/>
  <c r="AN481" i="6"/>
  <c r="AN348" i="6"/>
  <c r="AF451" i="6"/>
  <c r="AK447" i="6"/>
  <c r="AK451" i="6" s="1"/>
  <c r="AK10" i="7" s="1"/>
  <c r="AK32" i="6"/>
  <c r="AN314" i="6"/>
  <c r="AM125" i="6"/>
  <c r="AJ154" i="6"/>
  <c r="AK306" i="6"/>
  <c r="AN306" i="6" s="1"/>
  <c r="Z335" i="6"/>
  <c r="Z30" i="8" s="1"/>
  <c r="AE391" i="6"/>
  <c r="AY391" i="6"/>
  <c r="AC395" i="6"/>
  <c r="L13" i="7"/>
  <c r="AN135" i="6"/>
  <c r="AN139" i="6"/>
  <c r="AK145" i="6"/>
  <c r="AJ298" i="6"/>
  <c r="AN378" i="6"/>
  <c r="AK381" i="6"/>
  <c r="W518" i="6"/>
  <c r="AG451" i="6"/>
  <c r="AE44" i="8"/>
  <c r="AE10" i="7"/>
  <c r="AJ335" i="6"/>
  <c r="AM381" i="6"/>
  <c r="AA41" i="8"/>
  <c r="AA42" i="8" s="1"/>
  <c r="AA433" i="6"/>
  <c r="AA8" i="7" s="1"/>
  <c r="AJ11" i="8"/>
  <c r="AW239" i="6"/>
  <c r="AC29" i="8"/>
  <c r="AY29" i="8" s="1"/>
  <c r="AK395" i="6"/>
  <c r="AN387" i="6"/>
  <c r="AN206" i="6"/>
  <c r="N395" i="6"/>
  <c r="AI454" i="6"/>
  <c r="Q11" i="8"/>
  <c r="AI42" i="8"/>
  <c r="AV239" i="6"/>
  <c r="AW162" i="6"/>
  <c r="AK125" i="6"/>
  <c r="Z127" i="6"/>
  <c r="V170" i="6"/>
  <c r="AY162" i="6"/>
  <c r="AC193" i="6"/>
  <c r="AY174" i="6"/>
  <c r="AH174" i="6"/>
  <c r="AG188" i="6"/>
  <c r="AL188" i="6" s="1"/>
  <c r="AN188" i="6" s="1"/>
  <c r="AY188" i="6"/>
  <c r="AY417" i="6"/>
  <c r="AC427" i="6"/>
  <c r="AN159" i="6"/>
  <c r="AK162" i="6"/>
  <c r="Z12" i="7"/>
  <c r="AF6" i="7"/>
  <c r="AL346" i="6"/>
  <c r="G201" i="6"/>
  <c r="AJ176" i="6"/>
  <c r="AN176" i="6" s="1"/>
  <c r="Y193" i="6"/>
  <c r="AN313" i="6"/>
  <c r="AN398" i="6"/>
  <c r="AM403" i="6"/>
  <c r="AJ414" i="6"/>
  <c r="AB40" i="8"/>
  <c r="AB443" i="6"/>
  <c r="AA451" i="6"/>
  <c r="AL443" i="6"/>
  <c r="AK353" i="6"/>
  <c r="Z366" i="6"/>
  <c r="AR11" i="8"/>
  <c r="AU11" i="8"/>
  <c r="AP21" i="8"/>
  <c r="AW21" i="8" s="1"/>
  <c r="AW19" i="8"/>
  <c r="AU38" i="8"/>
  <c r="AS38" i="8"/>
  <c r="K38" i="8"/>
  <c r="N38" i="8"/>
  <c r="O38" i="8"/>
  <c r="AW37" i="8"/>
  <c r="T42" i="8"/>
  <c r="T50" i="8" s="1"/>
  <c r="AR42" i="8"/>
  <c r="J50" i="8"/>
  <c r="AT48" i="8"/>
  <c r="AT50" i="8" s="1"/>
  <c r="AY381" i="6"/>
  <c r="AG518" i="6"/>
  <c r="AG11" i="7" s="1"/>
  <c r="AN89" i="6"/>
  <c r="AH451" i="6"/>
  <c r="AY475" i="6"/>
  <c r="AK403" i="6"/>
  <c r="AH368" i="6"/>
  <c r="AN483" i="6"/>
  <c r="AJ383" i="6"/>
  <c r="X162" i="6"/>
  <c r="AN448" i="6"/>
  <c r="AW40" i="8"/>
  <c r="AV42" i="8"/>
  <c r="AY14" i="6"/>
  <c r="AC22" i="6"/>
  <c r="AN19" i="6"/>
  <c r="W6" i="8"/>
  <c r="AS103" i="6"/>
  <c r="AS5" i="7" s="1"/>
  <c r="AN181" i="6"/>
  <c r="AL288" i="6"/>
  <c r="AN288" i="6" s="1"/>
  <c r="AA10" i="8"/>
  <c r="AA11" i="8" s="1"/>
  <c r="R87" i="6"/>
  <c r="R102" i="6" s="1"/>
  <c r="N102" i="6"/>
  <c r="AG133" i="6"/>
  <c r="AL133" i="6" s="1"/>
  <c r="AN133" i="6" s="1"/>
  <c r="AY133" i="6"/>
  <c r="K13" i="7"/>
  <c r="T13" i="7"/>
  <c r="AB366" i="6"/>
  <c r="AB33" i="8" s="1"/>
  <c r="AJ79" i="6"/>
  <c r="AF79" i="6"/>
  <c r="AK79" i="6" s="1"/>
  <c r="AL196" i="6"/>
  <c r="AN454" i="6"/>
  <c r="AH10" i="6"/>
  <c r="AM5" i="6"/>
  <c r="AN5" i="6" s="1"/>
  <c r="AY517" i="6"/>
  <c r="AC154" i="6"/>
  <c r="AL262" i="6"/>
  <c r="AN262" i="6" s="1"/>
  <c r="AC41" i="8"/>
  <c r="N42" i="8"/>
  <c r="AC282" i="6"/>
  <c r="AC27" i="8" s="1"/>
  <c r="AY27" i="8" s="1"/>
  <c r="AY280" i="6"/>
  <c r="AF280" i="6"/>
  <c r="AJ284" i="6"/>
  <c r="AE286" i="6"/>
  <c r="AE28" i="8" s="1"/>
  <c r="AE85" i="6"/>
  <c r="AE9" i="8" s="1"/>
  <c r="AH416" i="6"/>
  <c r="AL416" i="6"/>
  <c r="X469" i="6"/>
  <c r="X45" i="8" s="1"/>
  <c r="AN138" i="6"/>
  <c r="AP38" i="8"/>
  <c r="AN228" i="6"/>
  <c r="AW14" i="6"/>
  <c r="AV22" i="6"/>
  <c r="AN124" i="6"/>
  <c r="AY400" i="6"/>
  <c r="AG400" i="6"/>
  <c r="AG413" i="6"/>
  <c r="AL413" i="6" s="1"/>
  <c r="AN413" i="6" s="1"/>
  <c r="AY413" i="6"/>
  <c r="AJ61" i="6"/>
  <c r="AN61" i="6" s="1"/>
  <c r="Y67" i="6"/>
  <c r="Y7" i="8" s="1"/>
  <c r="AN9" i="6"/>
  <c r="AJ127" i="6"/>
  <c r="AN116" i="6"/>
  <c r="AK127" i="6"/>
  <c r="AN296" i="6"/>
  <c r="AN497" i="6"/>
  <c r="H38" i="8"/>
  <c r="H50" i="8" s="1"/>
  <c r="U11" i="8"/>
  <c r="AK42" i="8"/>
  <c r="AJ330" i="6"/>
  <c r="AN330" i="6" s="1"/>
  <c r="AE335" i="6"/>
  <c r="AE58" i="6"/>
  <c r="AY118" i="6"/>
  <c r="AG118" i="6"/>
  <c r="AA131" i="6"/>
  <c r="AB131" i="6" s="1"/>
  <c r="AB145" i="6" s="1"/>
  <c r="AC131" i="6"/>
  <c r="AY131" i="6" s="1"/>
  <c r="W145" i="6"/>
  <c r="AY212" i="6"/>
  <c r="AC239" i="6"/>
  <c r="AG212" i="6"/>
  <c r="V351" i="6"/>
  <c r="AF317" i="6"/>
  <c r="AG317" i="6" s="1"/>
  <c r="AL317" i="6" s="1"/>
  <c r="AY317" i="6"/>
  <c r="AY354" i="6"/>
  <c r="AF354" i="6"/>
  <c r="AK409" i="6"/>
  <c r="AH409" i="6"/>
  <c r="AM409" i="6" s="1"/>
  <c r="AN238" i="6"/>
  <c r="AN258" i="6"/>
  <c r="U278" i="6"/>
  <c r="L404" i="6"/>
  <c r="AH340" i="6"/>
  <c r="Z346" i="6"/>
  <c r="AW467" i="6"/>
  <c r="AV469" i="6"/>
  <c r="AN270" i="6"/>
  <c r="Y392" i="6"/>
  <c r="AJ392" i="6" s="1"/>
  <c r="AN392" i="6" s="1"/>
  <c r="O529" i="6"/>
  <c r="AI458" i="6"/>
  <c r="Y458" i="6"/>
  <c r="R67" i="6"/>
  <c r="AN43" i="6"/>
  <c r="AN53" i="6"/>
  <c r="AH90" i="6"/>
  <c r="AC102" i="6"/>
  <c r="AK184" i="6"/>
  <c r="Z193" i="6"/>
  <c r="AN328" i="6"/>
  <c r="AW425" i="6"/>
  <c r="AV427" i="6"/>
  <c r="AE179" i="6"/>
  <c r="AY179" i="6"/>
  <c r="AH179" i="6"/>
  <c r="AM179" i="6" s="1"/>
  <c r="AE259" i="6"/>
  <c r="AJ259" i="6" s="1"/>
  <c r="AN259" i="6" s="1"/>
  <c r="AY259" i="6"/>
  <c r="AY275" i="6"/>
  <c r="AG275" i="6"/>
  <c r="AL275" i="6" s="1"/>
  <c r="AN275" i="6" s="1"/>
  <c r="AW356" i="6"/>
  <c r="AV366" i="6"/>
  <c r="AW366" i="6" s="1"/>
  <c r="AN343" i="6"/>
  <c r="U10" i="6"/>
  <c r="AW9" i="6"/>
  <c r="AV10" i="6"/>
  <c r="AV4" i="7" s="1"/>
  <c r="AW10" i="6"/>
  <c r="AW4" i="7" s="1"/>
  <c r="AK56" i="6"/>
  <c r="AN56" i="6" s="1"/>
  <c r="AF75" i="6"/>
  <c r="AK75" i="6" s="1"/>
  <c r="AN75" i="6" s="1"/>
  <c r="J193" i="6"/>
  <c r="AG189" i="6"/>
  <c r="AL189" i="6" s="1"/>
  <c r="AN189" i="6" s="1"/>
  <c r="AY189" i="6"/>
  <c r="U210" i="6"/>
  <c r="U38" i="8"/>
  <c r="AY71" i="6"/>
  <c r="AV102" i="6"/>
  <c r="AY111" i="6"/>
  <c r="AC112" i="6"/>
  <c r="AS170" i="6"/>
  <c r="AS201" i="6" s="1"/>
  <c r="AS6" i="7" s="1"/>
  <c r="Q169" i="6"/>
  <c r="AE205" i="6"/>
  <c r="AC210" i="6"/>
  <c r="AC22" i="8" s="1"/>
  <c r="AY22" i="8" s="1"/>
  <c r="AG271" i="6"/>
  <c r="AL271" i="6" s="1"/>
  <c r="AN271" i="6" s="1"/>
  <c r="AY271" i="6"/>
  <c r="AY371" i="6"/>
  <c r="AG371" i="6"/>
  <c r="AL371" i="6" s="1"/>
  <c r="AN371" i="6" s="1"/>
  <c r="AI513" i="6"/>
  <c r="Z513" i="6"/>
  <c r="R524" i="6"/>
  <c r="P526" i="6"/>
  <c r="P528" i="6" s="1"/>
  <c r="P13" i="7"/>
  <c r="AY432" i="6"/>
  <c r="AN508" i="6"/>
  <c r="AN40" i="6"/>
  <c r="AL38" i="8"/>
  <c r="R11" i="8"/>
  <c r="AA157" i="6"/>
  <c r="AA16" i="8" s="1"/>
  <c r="AL156" i="6"/>
  <c r="R18" i="6"/>
  <c r="R22" i="6" s="1"/>
  <c r="AW22" i="6"/>
  <c r="AN59" i="6"/>
  <c r="K103" i="6"/>
  <c r="AN426" i="6"/>
  <c r="R48" i="8"/>
  <c r="W7" i="8"/>
  <c r="AL242" i="6"/>
  <c r="AJ25" i="6"/>
  <c r="AN25" i="6" s="1"/>
  <c r="AN39" i="6"/>
  <c r="AY73" i="6"/>
  <c r="AF73" i="6"/>
  <c r="AU103" i="6"/>
  <c r="AU5" i="7" s="1"/>
  <c r="AL137" i="6"/>
  <c r="AN137" i="6" s="1"/>
  <c r="AO170" i="6"/>
  <c r="AO201" i="6" s="1"/>
  <c r="AO6" i="7" s="1"/>
  <c r="R160" i="6"/>
  <c r="R162" i="6" s="1"/>
  <c r="N162" i="6"/>
  <c r="N170" i="6" s="1"/>
  <c r="N201" i="6" s="1"/>
  <c r="AY289" i="6"/>
  <c r="AG289" i="6"/>
  <c r="AL289" i="6" s="1"/>
  <c r="AN289" i="6" s="1"/>
  <c r="L433" i="6"/>
  <c r="AG435" i="6"/>
  <c r="AY435" i="6"/>
  <c r="W10" i="6"/>
  <c r="AA8" i="6"/>
  <c r="AC8" i="6"/>
  <c r="W85" i="6"/>
  <c r="AC81" i="6"/>
  <c r="AC85" i="6" s="1"/>
  <c r="AC9" i="8" s="1"/>
  <c r="AY182" i="6"/>
  <c r="AG182" i="6"/>
  <c r="AL182" i="6" s="1"/>
  <c r="AN182" i="6" s="1"/>
  <c r="AP201" i="6"/>
  <c r="H335" i="6"/>
  <c r="H351" i="6" s="1"/>
  <c r="H404" i="6" s="1"/>
  <c r="AH390" i="6"/>
  <c r="AD390" i="6"/>
  <c r="AI390" i="6" s="1"/>
  <c r="AH504" i="6"/>
  <c r="AY504" i="6"/>
  <c r="AE24" i="6"/>
  <c r="AG20" i="6"/>
  <c r="AY20" i="6"/>
  <c r="AV67" i="6"/>
  <c r="AW67" i="6" s="1"/>
  <c r="AW107" i="6"/>
  <c r="AW112" i="6" s="1"/>
  <c r="M170" i="6"/>
  <c r="P200" i="6"/>
  <c r="AK196" i="6"/>
  <c r="Z433" i="6"/>
  <c r="Z8" i="7" s="1"/>
  <c r="Y26" i="6"/>
  <c r="Y28" i="6" s="1"/>
  <c r="Y6" i="8" s="1"/>
  <c r="AC26" i="6"/>
  <c r="AE26" i="6" s="1"/>
  <c r="AJ26" i="6" s="1"/>
  <c r="AN26" i="6" s="1"/>
  <c r="P103" i="6"/>
  <c r="AG319" i="6"/>
  <c r="AL319" i="6" s="1"/>
  <c r="AN319" i="6" s="1"/>
  <c r="AY319" i="6"/>
  <c r="AY458" i="6"/>
  <c r="AL172" i="6"/>
  <c r="AA193" i="6"/>
  <c r="U85" i="6"/>
  <c r="U103" i="6" s="1"/>
  <c r="J127" i="6"/>
  <c r="AT170" i="6"/>
  <c r="AT201" i="6" s="1"/>
  <c r="AN384" i="6"/>
  <c r="AA160" i="6"/>
  <c r="AI160" i="6"/>
  <c r="AI162" i="6" s="1"/>
  <c r="L102" i="6"/>
  <c r="L103" i="6" s="1"/>
  <c r="R112" i="6"/>
  <c r="AI130" i="6"/>
  <c r="AI145" i="6" s="1"/>
  <c r="X145" i="6"/>
  <c r="X14" i="8" s="1"/>
  <c r="AC140" i="6"/>
  <c r="AY140" i="6"/>
  <c r="L154" i="6"/>
  <c r="M351" i="6"/>
  <c r="M404" i="6" s="1"/>
  <c r="AA335" i="6"/>
  <c r="AK311" i="6"/>
  <c r="AN311" i="6" s="1"/>
  <c r="AC468" i="6"/>
  <c r="AC469" i="6" s="1"/>
  <c r="AV381" i="6"/>
  <c r="AW381" i="6" s="1"/>
  <c r="AN253" i="6"/>
  <c r="AO404" i="6"/>
  <c r="AB6" i="6"/>
  <c r="AL6" i="6"/>
  <c r="AN109" i="6"/>
  <c r="AJ344" i="6"/>
  <c r="AN344" i="6" s="1"/>
  <c r="Y346" i="6"/>
  <c r="AS404" i="6"/>
  <c r="K433" i="6"/>
  <c r="AN419" i="6"/>
  <c r="AN490" i="6"/>
  <c r="AN511" i="6"/>
  <c r="AL437" i="6"/>
  <c r="AN437" i="6" s="1"/>
  <c r="J526" i="6"/>
  <c r="J528" i="6" s="1"/>
  <c r="O13" i="7"/>
  <c r="AM256" i="6"/>
  <c r="AN353" i="6"/>
  <c r="AH129" i="6" l="1"/>
  <c r="AN172" i="6"/>
  <c r="AY414" i="6"/>
  <c r="AG414" i="6"/>
  <c r="AG39" i="8" s="1"/>
  <c r="S529" i="6"/>
  <c r="AI395" i="6"/>
  <c r="AN499" i="6"/>
  <c r="AY363" i="6"/>
  <c r="Y49" i="8"/>
  <c r="Y12" i="7"/>
  <c r="AJ144" i="6"/>
  <c r="AJ145" i="6" s="1"/>
  <c r="Y145" i="6"/>
  <c r="AA43" i="8"/>
  <c r="AA9" i="7"/>
  <c r="AG112" i="6"/>
  <c r="AG12" i="8" s="1"/>
  <c r="AL108" i="6"/>
  <c r="AN108" i="6" s="1"/>
  <c r="AJ433" i="6"/>
  <c r="AJ8" i="7" s="1"/>
  <c r="J170" i="6"/>
  <c r="J201" i="6" s="1"/>
  <c r="AC44" i="8"/>
  <c r="AY44" i="8" s="1"/>
  <c r="AC10" i="7"/>
  <c r="AD466" i="6"/>
  <c r="AE466" i="6"/>
  <c r="AM350" i="6"/>
  <c r="AI170" i="6"/>
  <c r="AI201" i="6" s="1"/>
  <c r="AI6" i="7" s="1"/>
  <c r="AN381" i="6"/>
  <c r="Q351" i="6"/>
  <c r="Q404" i="6" s="1"/>
  <c r="AG154" i="6"/>
  <c r="AG15" i="8" s="1"/>
  <c r="X335" i="6"/>
  <c r="AY193" i="6"/>
  <c r="AY451" i="6"/>
  <c r="AY10" i="7" s="1"/>
  <c r="G529" i="6"/>
  <c r="AY127" i="6"/>
  <c r="AN350" i="6"/>
  <c r="AN96" i="6"/>
  <c r="L170" i="6"/>
  <c r="L201" i="6" s="1"/>
  <c r="L529" i="6" s="1"/>
  <c r="M201" i="6"/>
  <c r="N103" i="6"/>
  <c r="AH127" i="6"/>
  <c r="AH13" i="8" s="1"/>
  <c r="AB433" i="6"/>
  <c r="AB8" i="7" s="1"/>
  <c r="I201" i="6"/>
  <c r="I529" i="6" s="1"/>
  <c r="AI433" i="6"/>
  <c r="AI8" i="7" s="1"/>
  <c r="AN142" i="6"/>
  <c r="AN190" i="6"/>
  <c r="R518" i="6"/>
  <c r="AJ102" i="6"/>
  <c r="H170" i="6"/>
  <c r="H201" i="6" s="1"/>
  <c r="H529" i="6"/>
  <c r="X395" i="6"/>
  <c r="X36" i="8" s="1"/>
  <c r="U351" i="6"/>
  <c r="U404" i="6" s="1"/>
  <c r="AA103" i="6"/>
  <c r="AA5" i="7" s="1"/>
  <c r="AL518" i="6"/>
  <c r="AL11" i="7" s="1"/>
  <c r="AN132" i="6"/>
  <c r="AN440" i="6"/>
  <c r="AC28" i="8"/>
  <c r="AY28" i="8" s="1"/>
  <c r="AY286" i="6"/>
  <c r="AV528" i="6"/>
  <c r="AW526" i="6"/>
  <c r="AG4" i="7"/>
  <c r="AG4" i="8"/>
  <c r="AI456" i="6"/>
  <c r="Y456" i="6"/>
  <c r="AJ456" i="6" s="1"/>
  <c r="AN456" i="6" s="1"/>
  <c r="AL521" i="6"/>
  <c r="AN521" i="6" s="1"/>
  <c r="AG526" i="6"/>
  <c r="AG528" i="6" s="1"/>
  <c r="AC49" i="8"/>
  <c r="AY49" i="8" s="1"/>
  <c r="AC12" i="7"/>
  <c r="AY528" i="6"/>
  <c r="AY12" i="7" s="1"/>
  <c r="T529" i="6"/>
  <c r="AY335" i="6"/>
  <c r="AC30" i="8"/>
  <c r="AY30" i="8" s="1"/>
  <c r="AN526" i="6"/>
  <c r="AN528" i="6" s="1"/>
  <c r="AN12" i="7" s="1"/>
  <c r="AC31" i="8"/>
  <c r="AY31" i="8" s="1"/>
  <c r="AY346" i="6"/>
  <c r="AL420" i="6"/>
  <c r="AH420" i="6"/>
  <c r="AM420" i="6" s="1"/>
  <c r="AN420" i="6" s="1"/>
  <c r="AV351" i="6"/>
  <c r="AA49" i="8"/>
  <c r="AA12" i="7"/>
  <c r="AJ278" i="6"/>
  <c r="AN298" i="6"/>
  <c r="AU529" i="6"/>
  <c r="AU13" i="7" s="1"/>
  <c r="AG278" i="6"/>
  <c r="AG26" i="8" s="1"/>
  <c r="AJ346" i="6"/>
  <c r="AJ17" i="6"/>
  <c r="AN17" i="6" s="1"/>
  <c r="AE22" i="6"/>
  <c r="AE5" i="8" s="1"/>
  <c r="J404" i="6"/>
  <c r="AE107" i="6"/>
  <c r="AH107" i="6"/>
  <c r="K529" i="6"/>
  <c r="AC67" i="6"/>
  <c r="AC7" i="8" s="1"/>
  <c r="AY7" i="8" s="1"/>
  <c r="AN79" i="6"/>
  <c r="V201" i="6"/>
  <c r="AC200" i="6"/>
  <c r="AG195" i="6"/>
  <c r="AH195" i="6"/>
  <c r="W170" i="6"/>
  <c r="W201" i="6" s="1"/>
  <c r="W21" i="8" s="1"/>
  <c r="AV404" i="6"/>
  <c r="AV7" i="7" s="1"/>
  <c r="AD395" i="6"/>
  <c r="N404" i="6"/>
  <c r="N529" i="6" s="1"/>
  <c r="AF67" i="6"/>
  <c r="AF7" i="8" s="1"/>
  <c r="AM407" i="6"/>
  <c r="AM333" i="6"/>
  <c r="AH335" i="6"/>
  <c r="AH30" i="8" s="1"/>
  <c r="AY256" i="6"/>
  <c r="AC25" i="8"/>
  <c r="AY25" i="8" s="1"/>
  <c r="Q103" i="6"/>
  <c r="AY107" i="6"/>
  <c r="R103" i="6"/>
  <c r="AC34" i="8"/>
  <c r="AY34" i="8" s="1"/>
  <c r="AY376" i="6"/>
  <c r="AY249" i="6"/>
  <c r="W24" i="8"/>
  <c r="AY24" i="8" s="1"/>
  <c r="AY403" i="6"/>
  <c r="W404" i="6"/>
  <c r="R351" i="6"/>
  <c r="R404" i="6" s="1"/>
  <c r="AV170" i="6"/>
  <c r="AV201" i="6" s="1"/>
  <c r="AV6" i="7" s="1"/>
  <c r="AG256" i="6"/>
  <c r="AG25" i="8" s="1"/>
  <c r="AL252" i="6"/>
  <c r="AC169" i="6"/>
  <c r="AC18" i="8" s="1"/>
  <c r="AY18" i="8" s="1"/>
  <c r="AL92" i="6"/>
  <c r="AL102" i="6" s="1"/>
  <c r="AG102" i="6"/>
  <c r="AG10" i="8" s="1"/>
  <c r="AH92" i="6"/>
  <c r="AM92" i="6" s="1"/>
  <c r="AM204" i="6"/>
  <c r="AH210" i="6"/>
  <c r="AH22" i="8" s="1"/>
  <c r="AW451" i="6"/>
  <c r="AW10" i="7" s="1"/>
  <c r="AV10" i="7"/>
  <c r="AR11" i="7"/>
  <c r="AR529" i="6"/>
  <c r="AR13" i="7" s="1"/>
  <c r="AA518" i="6"/>
  <c r="AA11" i="7" s="1"/>
  <c r="AA47" i="8"/>
  <c r="AA48" i="8" s="1"/>
  <c r="AL107" i="6"/>
  <c r="AA112" i="6"/>
  <c r="AA12" i="8" s="1"/>
  <c r="P201" i="6"/>
  <c r="P529" i="6" s="1"/>
  <c r="R170" i="6"/>
  <c r="R201" i="6" s="1"/>
  <c r="R526" i="6"/>
  <c r="R528" i="6" s="1"/>
  <c r="R529" i="6" s="1"/>
  <c r="AN197" i="6"/>
  <c r="AC26" i="8"/>
  <c r="AY26" i="8" s="1"/>
  <c r="AB42" i="8"/>
  <c r="AI517" i="6"/>
  <c r="AY331" i="6"/>
  <c r="AG331" i="6"/>
  <c r="AL331" i="6" s="1"/>
  <c r="AN331" i="6" s="1"/>
  <c r="AN430" i="6"/>
  <c r="AN432" i="6" s="1"/>
  <c r="AC33" i="8"/>
  <c r="AY33" i="8" s="1"/>
  <c r="AY366" i="6"/>
  <c r="X30" i="8"/>
  <c r="X351" i="6"/>
  <c r="AJ15" i="6"/>
  <c r="Z15" i="6"/>
  <c r="M529" i="6"/>
  <c r="AC28" i="6"/>
  <c r="AC6" i="8" s="1"/>
  <c r="AY6" i="8" s="1"/>
  <c r="AA249" i="6"/>
  <c r="AA24" i="8" s="1"/>
  <c r="Q170" i="6"/>
  <c r="Q201" i="6" s="1"/>
  <c r="AJ282" i="6"/>
  <c r="AG427" i="6"/>
  <c r="AL414" i="6"/>
  <c r="AL366" i="6"/>
  <c r="U170" i="6"/>
  <c r="U201" i="6" s="1"/>
  <c r="U529" i="6" s="1"/>
  <c r="X67" i="6"/>
  <c r="AI35" i="6"/>
  <c r="AI67" i="6" s="1"/>
  <c r="AI103" i="6" s="1"/>
  <c r="AI5" i="7" s="1"/>
  <c r="Z35" i="6"/>
  <c r="AN237" i="6"/>
  <c r="AJ239" i="6"/>
  <c r="AD6" i="7"/>
  <c r="AD21" i="8"/>
  <c r="AW38" i="8"/>
  <c r="K50" i="8"/>
  <c r="AW11" i="8"/>
  <c r="AS50" i="8"/>
  <c r="AO50" i="8"/>
  <c r="L50" i="8"/>
  <c r="P50" i="8"/>
  <c r="AN50" i="8"/>
  <c r="AJ50" i="8"/>
  <c r="AU50" i="8"/>
  <c r="AI50" i="8"/>
  <c r="AR50" i="8"/>
  <c r="U50" i="8"/>
  <c r="R50" i="8"/>
  <c r="AW42" i="8"/>
  <c r="AB14" i="8"/>
  <c r="AB170" i="6"/>
  <c r="AB201" i="6" s="1"/>
  <c r="V6" i="7"/>
  <c r="Q529" i="6"/>
  <c r="AT6" i="7"/>
  <c r="AT529" i="6"/>
  <c r="AT13" i="7" s="1"/>
  <c r="AG376" i="6"/>
  <c r="AG34" i="8" s="1"/>
  <c r="AP50" i="8"/>
  <c r="AW48" i="8"/>
  <c r="AS529" i="6"/>
  <c r="AS13" i="7" s="1"/>
  <c r="AS7" i="7"/>
  <c r="W4" i="8"/>
  <c r="W4" i="7"/>
  <c r="AW427" i="6"/>
  <c r="AV433" i="6"/>
  <c r="AN278" i="6"/>
  <c r="AN149" i="6"/>
  <c r="AN154" i="6" s="1"/>
  <c r="AL154" i="6"/>
  <c r="Y31" i="8"/>
  <c r="Y351" i="6"/>
  <c r="AC45" i="8"/>
  <c r="AY469" i="6"/>
  <c r="AP6" i="7"/>
  <c r="AW201" i="6"/>
  <c r="AW6" i="7" s="1"/>
  <c r="AP529" i="6"/>
  <c r="AY102" i="6"/>
  <c r="AC10" i="8"/>
  <c r="AV518" i="6"/>
  <c r="AW469" i="6"/>
  <c r="AC15" i="8"/>
  <c r="AY15" i="8" s="1"/>
  <c r="AY154" i="6"/>
  <c r="AL376" i="6"/>
  <c r="X170" i="6"/>
  <c r="X201" i="6" s="1"/>
  <c r="X17" i="8"/>
  <c r="Z33" i="8"/>
  <c r="Z13" i="8"/>
  <c r="Z170" i="6"/>
  <c r="Z201" i="6" s="1"/>
  <c r="AN32" i="6"/>
  <c r="X518" i="6"/>
  <c r="X47" i="8"/>
  <c r="X48" i="8" s="1"/>
  <c r="AY468" i="6"/>
  <c r="AN196" i="6"/>
  <c r="AK200" i="6"/>
  <c r="AE28" i="6"/>
  <c r="AE6" i="8" s="1"/>
  <c r="AJ24" i="6"/>
  <c r="AV103" i="6"/>
  <c r="AV5" i="7" s="1"/>
  <c r="AM90" i="6"/>
  <c r="W14" i="8"/>
  <c r="AJ58" i="6"/>
  <c r="AE67" i="6"/>
  <c r="AE7" i="8" s="1"/>
  <c r="N50" i="8"/>
  <c r="Y395" i="6"/>
  <c r="AJ85" i="6"/>
  <c r="AC518" i="6"/>
  <c r="AY518" i="6" s="1"/>
  <c r="AY11" i="7" s="1"/>
  <c r="AN125" i="6"/>
  <c r="AQ529" i="6"/>
  <c r="AQ13" i="7" s="1"/>
  <c r="AJ391" i="6"/>
  <c r="AN391" i="6" s="1"/>
  <c r="AE395" i="6"/>
  <c r="AB404" i="6"/>
  <c r="AV50" i="8"/>
  <c r="AQ50" i="8"/>
  <c r="AH414" i="6"/>
  <c r="AH39" i="8" s="1"/>
  <c r="AM390" i="6"/>
  <c r="AH395" i="6"/>
  <c r="AL157" i="6"/>
  <c r="AN156" i="6"/>
  <c r="AN157" i="6" s="1"/>
  <c r="Z19" i="8"/>
  <c r="AK414" i="6"/>
  <c r="AK433" i="6" s="1"/>
  <c r="AK8" i="7" s="1"/>
  <c r="AN409" i="6"/>
  <c r="AD404" i="6"/>
  <c r="AD36" i="8"/>
  <c r="AC40" i="8"/>
  <c r="AY40" i="8" s="1"/>
  <c r="AY427" i="6"/>
  <c r="AL160" i="6"/>
  <c r="AA162" i="6"/>
  <c r="AL20" i="6"/>
  <c r="AG22" i="6"/>
  <c r="AY112" i="6"/>
  <c r="AC12" i="8"/>
  <c r="AY12" i="8" s="1"/>
  <c r="AK193" i="6"/>
  <c r="AN184" i="6"/>
  <c r="Z31" i="8"/>
  <c r="Z351" i="6"/>
  <c r="Z404" i="6" s="1"/>
  <c r="AY41" i="8"/>
  <c r="AG145" i="6"/>
  <c r="AJ395" i="6"/>
  <c r="AN383" i="6"/>
  <c r="AI404" i="6"/>
  <c r="AI7" i="7" s="1"/>
  <c r="AF44" i="8"/>
  <c r="AF10" i="7"/>
  <c r="AC351" i="6"/>
  <c r="AC404" i="6" s="1"/>
  <c r="AY26" i="6"/>
  <c r="AN242" i="6"/>
  <c r="AN249" i="6" s="1"/>
  <c r="AL249" i="6"/>
  <c r="AJ179" i="6"/>
  <c r="AN179" i="6" s="1"/>
  <c r="AE193" i="6"/>
  <c r="AH346" i="6"/>
  <c r="AM340" i="6"/>
  <c r="AF335" i="6"/>
  <c r="AK317" i="6"/>
  <c r="AN317" i="6" s="1"/>
  <c r="AE30" i="8"/>
  <c r="AJ286" i="6"/>
  <c r="AN284" i="6"/>
  <c r="AN286" i="6" s="1"/>
  <c r="AC433" i="6"/>
  <c r="AM129" i="6"/>
  <c r="AG298" i="6"/>
  <c r="AG29" i="8" s="1"/>
  <c r="AY22" i="6"/>
  <c r="AC5" i="8"/>
  <c r="AY5" i="8" s="1"/>
  <c r="AL451" i="6"/>
  <c r="AM174" i="6"/>
  <c r="AH193" i="6"/>
  <c r="AH19" i="8" s="1"/>
  <c r="AJ193" i="6"/>
  <c r="AG193" i="6"/>
  <c r="AG19" i="8" s="1"/>
  <c r="W11" i="7"/>
  <c r="AM127" i="6"/>
  <c r="AN114" i="6"/>
  <c r="Y11" i="8"/>
  <c r="AA10" i="6"/>
  <c r="AL8" i="6"/>
  <c r="AG239" i="6"/>
  <c r="AG23" i="8" s="1"/>
  <c r="AL212" i="6"/>
  <c r="AG127" i="6"/>
  <c r="AG13" i="8" s="1"/>
  <c r="AL118" i="6"/>
  <c r="AM416" i="6"/>
  <c r="AF366" i="6"/>
  <c r="AK354" i="6"/>
  <c r="AN354" i="6" s="1"/>
  <c r="AN366" i="6" s="1"/>
  <c r="AG438" i="6"/>
  <c r="AL435" i="6"/>
  <c r="AG44" i="8"/>
  <c r="AG10" i="7"/>
  <c r="AM6" i="6"/>
  <c r="AN6" i="6" s="1"/>
  <c r="AB10" i="6"/>
  <c r="AA30" i="8"/>
  <c r="AA351" i="6"/>
  <c r="AA404" i="6" s="1"/>
  <c r="AA19" i="8"/>
  <c r="AM504" i="6"/>
  <c r="AH517" i="6"/>
  <c r="W9" i="8"/>
  <c r="W103" i="6"/>
  <c r="AY85" i="6"/>
  <c r="AK73" i="6"/>
  <c r="AF85" i="6"/>
  <c r="AY67" i="6"/>
  <c r="AK513" i="6"/>
  <c r="Z517" i="6"/>
  <c r="AE210" i="6"/>
  <c r="AE22" i="8" s="1"/>
  <c r="AJ205" i="6"/>
  <c r="AY282" i="6"/>
  <c r="AH131" i="6"/>
  <c r="AM131" i="6" s="1"/>
  <c r="AC145" i="6"/>
  <c r="AC14" i="8" s="1"/>
  <c r="AG403" i="6"/>
  <c r="AL400" i="6"/>
  <c r="AF282" i="6"/>
  <c r="AF27" i="8" s="1"/>
  <c r="AK280" i="6"/>
  <c r="AM10" i="6"/>
  <c r="AM4" i="7" s="1"/>
  <c r="AL298" i="6"/>
  <c r="AH10" i="7"/>
  <c r="AH44" i="8"/>
  <c r="AA44" i="8"/>
  <c r="AA10" i="7"/>
  <c r="AK170" i="6"/>
  <c r="V50" i="8"/>
  <c r="AY210" i="6"/>
  <c r="AN447" i="6"/>
  <c r="W6" i="7"/>
  <c r="AW404" i="6"/>
  <c r="AW7" i="7" s="1"/>
  <c r="AJ458" i="6"/>
  <c r="Y469" i="6"/>
  <c r="AC23" i="8"/>
  <c r="AY23" i="8" s="1"/>
  <c r="AY239" i="6"/>
  <c r="AY395" i="6"/>
  <c r="AC36" i="8"/>
  <c r="AY36" i="8" s="1"/>
  <c r="AN421" i="6"/>
  <c r="AE278" i="6"/>
  <c r="AE26" i="8" s="1"/>
  <c r="Y103" i="6"/>
  <c r="Y5" i="7" s="1"/>
  <c r="AO7" i="7"/>
  <c r="AO529" i="6"/>
  <c r="AO13" i="7" s="1"/>
  <c r="AL193" i="6"/>
  <c r="AC10" i="6"/>
  <c r="AY10" i="6" s="1"/>
  <c r="AY4" i="7" s="1"/>
  <c r="AY8" i="6"/>
  <c r="V404" i="6"/>
  <c r="AY351" i="6"/>
  <c r="AL131" i="6"/>
  <c r="AA145" i="6"/>
  <c r="AA14" i="8" s="1"/>
  <c r="AL427" i="6"/>
  <c r="AN416" i="6"/>
  <c r="AH4" i="7"/>
  <c r="AH4" i="8"/>
  <c r="AM368" i="6"/>
  <c r="AH376" i="6"/>
  <c r="AH34" i="8" s="1"/>
  <c r="AB451" i="6"/>
  <c r="AM443" i="6"/>
  <c r="AM451" i="6" s="1"/>
  <c r="AM10" i="7" s="1"/>
  <c r="Y19" i="8"/>
  <c r="AC19" i="8"/>
  <c r="AY19" i="8" s="1"/>
  <c r="AL278" i="6"/>
  <c r="AG40" i="8"/>
  <c r="AG42" i="8" s="1"/>
  <c r="AG433" i="6"/>
  <c r="AG8" i="7" s="1"/>
  <c r="AG49" i="8" l="1"/>
  <c r="AG12" i="7"/>
  <c r="AG335" i="6"/>
  <c r="AL112" i="6"/>
  <c r="X404" i="6"/>
  <c r="X529" i="6" s="1"/>
  <c r="X13" i="7" s="1"/>
  <c r="AI466" i="6"/>
  <c r="AI469" i="6" s="1"/>
  <c r="AI518" i="6" s="1"/>
  <c r="AD469" i="6"/>
  <c r="AV12" i="7"/>
  <c r="AW528" i="6"/>
  <c r="AW12" i="7" s="1"/>
  <c r="AN427" i="6"/>
  <c r="AL433" i="6"/>
  <c r="AL8" i="7" s="1"/>
  <c r="W529" i="6"/>
  <c r="W13" i="7" s="1"/>
  <c r="AH427" i="6"/>
  <c r="AH40" i="8" s="1"/>
  <c r="AH42" i="8" s="1"/>
  <c r="AN92" i="6"/>
  <c r="Y14" i="8"/>
  <c r="Y170" i="6"/>
  <c r="Y201" i="6" s="1"/>
  <c r="Y6" i="7" s="1"/>
  <c r="AE469" i="6"/>
  <c r="AJ466" i="6"/>
  <c r="AN466" i="6" s="1"/>
  <c r="AM427" i="6"/>
  <c r="AE103" i="6"/>
  <c r="AE5" i="7" s="1"/>
  <c r="AL526" i="6"/>
  <c r="AL528" i="6" s="1"/>
  <c r="AL12" i="7" s="1"/>
  <c r="AC20" i="8"/>
  <c r="AY20" i="8" s="1"/>
  <c r="AY200" i="6"/>
  <c r="AJ351" i="6"/>
  <c r="AJ404" i="6" s="1"/>
  <c r="AJ7" i="7" s="1"/>
  <c r="AY28" i="6"/>
  <c r="AC103" i="6"/>
  <c r="AC5" i="7" s="1"/>
  <c r="W38" i="8"/>
  <c r="W7" i="7"/>
  <c r="AM210" i="6"/>
  <c r="AN204" i="6"/>
  <c r="AN443" i="6"/>
  <c r="AN451" i="6" s="1"/>
  <c r="AN10" i="7" s="1"/>
  <c r="AM414" i="6"/>
  <c r="AM433" i="6" s="1"/>
  <c r="AM8" i="7" s="1"/>
  <c r="AN407" i="6"/>
  <c r="AN414" i="6" s="1"/>
  <c r="AN433" i="6" s="1"/>
  <c r="AN8" i="7" s="1"/>
  <c r="AK335" i="6"/>
  <c r="AL256" i="6"/>
  <c r="AN252" i="6"/>
  <c r="AN256" i="6" s="1"/>
  <c r="X7" i="8"/>
  <c r="X11" i="8" s="1"/>
  <c r="X103" i="6"/>
  <c r="X5" i="7" s="1"/>
  <c r="AJ107" i="6"/>
  <c r="AE112" i="6"/>
  <c r="AL195" i="6"/>
  <c r="AG200" i="6"/>
  <c r="AG20" i="8" s="1"/>
  <c r="Z67" i="6"/>
  <c r="AK35" i="6"/>
  <c r="AJ22" i="6"/>
  <c r="AW170" i="6"/>
  <c r="AY169" i="6"/>
  <c r="AL335" i="6"/>
  <c r="AL351" i="6" s="1"/>
  <c r="AM195" i="6"/>
  <c r="AM200" i="6" s="1"/>
  <c r="AH200" i="6"/>
  <c r="AH20" i="8" s="1"/>
  <c r="AN333" i="6"/>
  <c r="AN335" i="6" s="1"/>
  <c r="AM335" i="6"/>
  <c r="AH102" i="6"/>
  <c r="AH10" i="8" s="1"/>
  <c r="AH11" i="8" s="1"/>
  <c r="Z22" i="6"/>
  <c r="Z5" i="8" s="1"/>
  <c r="AK15" i="6"/>
  <c r="AK22" i="6" s="1"/>
  <c r="J529" i="6"/>
  <c r="AH112" i="6"/>
  <c r="AH12" i="8" s="1"/>
  <c r="AM107" i="6"/>
  <c r="AM112" i="6" s="1"/>
  <c r="AE11" i="8"/>
  <c r="AI11" i="7"/>
  <c r="AI529" i="6"/>
  <c r="AI13" i="7" s="1"/>
  <c r="AC38" i="8"/>
  <c r="AY38" i="8" s="1"/>
  <c r="AC7" i="7"/>
  <c r="Z38" i="8"/>
  <c r="Z7" i="7"/>
  <c r="Z21" i="8"/>
  <c r="Z6" i="7"/>
  <c r="AY145" i="6"/>
  <c r="AG30" i="8"/>
  <c r="AG351" i="6"/>
  <c r="AG404" i="6" s="1"/>
  <c r="Y21" i="8"/>
  <c r="AN513" i="6"/>
  <c r="AK517" i="6"/>
  <c r="AK518" i="6" s="1"/>
  <c r="AN504" i="6"/>
  <c r="AM517" i="6"/>
  <c r="AM518" i="6" s="1"/>
  <c r="AN212" i="6"/>
  <c r="AN239" i="6" s="1"/>
  <c r="AL239" i="6"/>
  <c r="AM145" i="6"/>
  <c r="AN129" i="6"/>
  <c r="AN20" i="6"/>
  <c r="AL22" i="6"/>
  <c r="AL103" i="6" s="1"/>
  <c r="AL5" i="7" s="1"/>
  <c r="AK366" i="6"/>
  <c r="AF33" i="8"/>
  <c r="AL10" i="7"/>
  <c r="AC8" i="7"/>
  <c r="AY433" i="6"/>
  <c r="AY8" i="7" s="1"/>
  <c r="AF351" i="6"/>
  <c r="AF404" i="6" s="1"/>
  <c r="AF30" i="8"/>
  <c r="AA170" i="6"/>
  <c r="AA201" i="6" s="1"/>
  <c r="AA17" i="8"/>
  <c r="AC11" i="7"/>
  <c r="AN58" i="6"/>
  <c r="AJ67" i="6"/>
  <c r="AK201" i="6"/>
  <c r="AK6" i="7" s="1"/>
  <c r="AB44" i="8"/>
  <c r="AB10" i="7"/>
  <c r="AB529" i="6"/>
  <c r="AB13" i="7" s="1"/>
  <c r="AF103" i="6"/>
  <c r="AF5" i="7" s="1"/>
  <c r="AF9" i="8"/>
  <c r="AF11" i="8" s="1"/>
  <c r="AP13" i="7"/>
  <c r="AA38" i="8"/>
  <c r="AA7" i="7"/>
  <c r="AA4" i="8"/>
  <c r="AA4" i="7"/>
  <c r="AY14" i="8"/>
  <c r="AK282" i="6"/>
  <c r="AN280" i="6"/>
  <c r="AN282" i="6" s="1"/>
  <c r="AG14" i="8"/>
  <c r="AG170" i="6"/>
  <c r="AM376" i="6"/>
  <c r="AN368" i="6"/>
  <c r="AN376" i="6" s="1"/>
  <c r="V7" i="7"/>
  <c r="AY404" i="6"/>
  <c r="AY7" i="7" s="1"/>
  <c r="V529" i="6"/>
  <c r="AN458" i="6"/>
  <c r="AN469" i="6" s="1"/>
  <c r="AJ469" i="6"/>
  <c r="AJ518" i="6" s="1"/>
  <c r="AN205" i="6"/>
  <c r="AN210" i="6" s="1"/>
  <c r="AJ210" i="6"/>
  <c r="W5" i="7"/>
  <c r="AY103" i="6"/>
  <c r="AY5" i="7" s="1"/>
  <c r="AB4" i="8"/>
  <c r="AB4" i="7"/>
  <c r="AG43" i="8"/>
  <c r="AG9" i="7"/>
  <c r="AH36" i="8"/>
  <c r="AM102" i="6"/>
  <c r="AM103" i="6" s="1"/>
  <c r="AM5" i="7" s="1"/>
  <c r="AN90" i="6"/>
  <c r="AN102" i="6" s="1"/>
  <c r="AN8" i="6"/>
  <c r="AN10" i="6" s="1"/>
  <c r="AN4" i="7" s="1"/>
  <c r="AL10" i="6"/>
  <c r="AL4" i="7" s="1"/>
  <c r="AM346" i="6"/>
  <c r="AM351" i="6" s="1"/>
  <c r="AN340" i="6"/>
  <c r="AN346" i="6" s="1"/>
  <c r="Y518" i="6"/>
  <c r="Y45" i="8"/>
  <c r="Y48" i="8" s="1"/>
  <c r="AL438" i="6"/>
  <c r="AL9" i="7" s="1"/>
  <c r="AN435" i="6"/>
  <c r="AN438" i="6" s="1"/>
  <c r="AN9" i="7" s="1"/>
  <c r="AE36" i="8"/>
  <c r="AH103" i="6"/>
  <c r="AH5" i="7" s="1"/>
  <c r="AW518" i="6"/>
  <c r="AW11" i="7" s="1"/>
  <c r="AV11" i="7"/>
  <c r="AV529" i="6"/>
  <c r="AV13" i="7" s="1"/>
  <c r="AN400" i="6"/>
  <c r="AN403" i="6" s="1"/>
  <c r="AL403" i="6"/>
  <c r="W11" i="8"/>
  <c r="AY9" i="8"/>
  <c r="AL127" i="6"/>
  <c r="AN118" i="6"/>
  <c r="AN127" i="6" s="1"/>
  <c r="AM193" i="6"/>
  <c r="AN174" i="6"/>
  <c r="AN193" i="6" s="1"/>
  <c r="AE19" i="8"/>
  <c r="AC42" i="8"/>
  <c r="AY42" i="8" s="1"/>
  <c r="AD7" i="7"/>
  <c r="AD38" i="8"/>
  <c r="AM395" i="6"/>
  <c r="AN390" i="6"/>
  <c r="AN395" i="6" s="1"/>
  <c r="X11" i="7"/>
  <c r="AG201" i="6"/>
  <c r="AC11" i="8"/>
  <c r="AY10" i="8"/>
  <c r="AY45" i="8"/>
  <c r="AC48" i="8"/>
  <c r="AV8" i="7"/>
  <c r="AW433" i="6"/>
  <c r="AW8" i="7" s="1"/>
  <c r="AW50" i="8"/>
  <c r="AB6" i="7"/>
  <c r="AB21" i="8"/>
  <c r="AL162" i="6"/>
  <c r="AN160" i="6"/>
  <c r="AN162" i="6" s="1"/>
  <c r="X6" i="7"/>
  <c r="X21" i="8"/>
  <c r="AN131" i="6"/>
  <c r="AL145" i="6"/>
  <c r="AN73" i="6"/>
  <c r="AN85" i="6" s="1"/>
  <c r="AK85" i="6"/>
  <c r="AH31" i="8"/>
  <c r="AH351" i="6"/>
  <c r="AH404" i="6" s="1"/>
  <c r="AB7" i="7"/>
  <c r="AB38" i="8"/>
  <c r="Y404" i="6"/>
  <c r="Y36" i="8"/>
  <c r="AH433" i="6"/>
  <c r="AH8" i="7" s="1"/>
  <c r="X7" i="7"/>
  <c r="X38" i="8"/>
  <c r="AC4" i="8"/>
  <c r="AY4" i="8" s="1"/>
  <c r="AC4" i="7"/>
  <c r="AG37" i="8"/>
  <c r="Z518" i="6"/>
  <c r="Z47" i="8"/>
  <c r="Z48" i="8" s="1"/>
  <c r="AH47" i="8"/>
  <c r="AH48" i="8" s="1"/>
  <c r="AH518" i="6"/>
  <c r="AH145" i="6"/>
  <c r="AE351" i="6"/>
  <c r="AE404" i="6" s="1"/>
  <c r="AG5" i="8"/>
  <c r="AG11" i="8" s="1"/>
  <c r="AG103" i="6"/>
  <c r="AG5" i="7" s="1"/>
  <c r="AN24" i="6"/>
  <c r="AN28" i="6" s="1"/>
  <c r="AJ28" i="6"/>
  <c r="AC170" i="6"/>
  <c r="AD45" i="8" l="1"/>
  <c r="AD48" i="8" s="1"/>
  <c r="AD518" i="6"/>
  <c r="X50" i="8"/>
  <c r="AD50" i="8"/>
  <c r="AE518" i="6"/>
  <c r="AE11" i="7" s="1"/>
  <c r="AE45" i="8"/>
  <c r="AE48" i="8" s="1"/>
  <c r="AN195" i="6"/>
  <c r="AN200" i="6" s="1"/>
  <c r="AL200" i="6"/>
  <c r="AE170" i="6"/>
  <c r="AE201" i="6" s="1"/>
  <c r="AE6" i="7" s="1"/>
  <c r="AE12" i="8"/>
  <c r="AN35" i="6"/>
  <c r="AN67" i="6" s="1"/>
  <c r="AK67" i="6"/>
  <c r="AN107" i="6"/>
  <c r="AN112" i="6" s="1"/>
  <c r="AJ112" i="6"/>
  <c r="AJ170" i="6" s="1"/>
  <c r="AJ201" i="6" s="1"/>
  <c r="AJ6" i="7" s="1"/>
  <c r="AN351" i="6"/>
  <c r="Z103" i="6"/>
  <c r="Z5" i="7" s="1"/>
  <c r="Z7" i="8"/>
  <c r="Z11" i="8" s="1"/>
  <c r="AK351" i="6"/>
  <c r="AK404" i="6" s="1"/>
  <c r="AK7" i="7" s="1"/>
  <c r="AW529" i="6"/>
  <c r="AW13" i="7" s="1"/>
  <c r="AM170" i="6"/>
  <c r="AM201" i="6" s="1"/>
  <c r="AM6" i="7" s="1"/>
  <c r="AN15" i="6"/>
  <c r="AN22" i="6" s="1"/>
  <c r="AK103" i="6"/>
  <c r="AK5" i="7" s="1"/>
  <c r="W50" i="8"/>
  <c r="AJ103" i="6"/>
  <c r="AJ5" i="7" s="1"/>
  <c r="Z50" i="8"/>
  <c r="AF7" i="7"/>
  <c r="AF38" i="8"/>
  <c r="AF50" i="8" s="1"/>
  <c r="AF529" i="6"/>
  <c r="AF13" i="7" s="1"/>
  <c r="AE7" i="7"/>
  <c r="AE38" i="8"/>
  <c r="AH38" i="8"/>
  <c r="AH7" i="7"/>
  <c r="AG6" i="7"/>
  <c r="AG21" i="8"/>
  <c r="AG38" i="8"/>
  <c r="AG7" i="7"/>
  <c r="AG529" i="6"/>
  <c r="AG13" i="7" s="1"/>
  <c r="AJ11" i="7"/>
  <c r="AY48" i="8"/>
  <c r="AM404" i="6"/>
  <c r="AM7" i="7" s="1"/>
  <c r="AB50" i="8"/>
  <c r="AA21" i="8"/>
  <c r="AA50" i="8" s="1"/>
  <c r="AA6" i="7"/>
  <c r="AH11" i="7"/>
  <c r="Y11" i="7"/>
  <c r="Y529" i="6"/>
  <c r="Y13" i="7" s="1"/>
  <c r="V13" i="7"/>
  <c r="AM11" i="7"/>
  <c r="AH14" i="8"/>
  <c r="AH170" i="6"/>
  <c r="AH201" i="6" s="1"/>
  <c r="Y38" i="8"/>
  <c r="Y50" i="8" s="1"/>
  <c r="Y7" i="7"/>
  <c r="AL170" i="6"/>
  <c r="AN517" i="6"/>
  <c r="AN518" i="6" s="1"/>
  <c r="AC201" i="6"/>
  <c r="AY170" i="6"/>
  <c r="AK11" i="7"/>
  <c r="AY11" i="8"/>
  <c r="AL404" i="6"/>
  <c r="AL7" i="7" s="1"/>
  <c r="AN145" i="6"/>
  <c r="AN170" i="6" s="1"/>
  <c r="Z11" i="7"/>
  <c r="AN404" i="6"/>
  <c r="AN7" i="7" s="1"/>
  <c r="AA529" i="6"/>
  <c r="AA13" i="7" s="1"/>
  <c r="AN201" i="6" l="1"/>
  <c r="AN6" i="7" s="1"/>
  <c r="AE21" i="8"/>
  <c r="AN103" i="6"/>
  <c r="AN5" i="7" s="1"/>
  <c r="AD529" i="6"/>
  <c r="AD13" i="7" s="1"/>
  <c r="AD11" i="7"/>
  <c r="AL201" i="6"/>
  <c r="AL6" i="7" s="1"/>
  <c r="AJ529" i="6"/>
  <c r="AJ13" i="7" s="1"/>
  <c r="AE529" i="6"/>
  <c r="AE13" i="7" s="1"/>
  <c r="Z529" i="6"/>
  <c r="Z13" i="7" s="1"/>
  <c r="AG50" i="8"/>
  <c r="AM529" i="6"/>
  <c r="AM13" i="7" s="1"/>
  <c r="AE50" i="8"/>
  <c r="AC21" i="8"/>
  <c r="AC6" i="7"/>
  <c r="AY201" i="6"/>
  <c r="AY6" i="7" s="1"/>
  <c r="AC529" i="6"/>
  <c r="AL529" i="6"/>
  <c r="AL13" i="7" s="1"/>
  <c r="AH6" i="7"/>
  <c r="AH21" i="8"/>
  <c r="AH50" i="8" s="1"/>
  <c r="BB170" i="6"/>
  <c r="AK529" i="6"/>
  <c r="AK13" i="7" s="1"/>
  <c r="AN11" i="7"/>
  <c r="AH529" i="6"/>
  <c r="AH13" i="7" s="1"/>
  <c r="AN529" i="6" l="1"/>
  <c r="AN13" i="7" s="1"/>
  <c r="AC13" i="7"/>
  <c r="AY529" i="6"/>
  <c r="AY13" i="7" s="1"/>
  <c r="AY21" i="8"/>
  <c r="AC50" i="8"/>
  <c r="AY50" i="8" s="1"/>
</calcChain>
</file>

<file path=xl/sharedStrings.xml><?xml version="1.0" encoding="utf-8"?>
<sst xmlns="http://schemas.openxmlformats.org/spreadsheetml/2006/main" count="832" uniqueCount="582">
  <si>
    <t>העבודה</t>
  </si>
  <si>
    <t>מס'</t>
  </si>
  <si>
    <t>נושא</t>
  </si>
  <si>
    <t>מקורות מימון 2009</t>
  </si>
  <si>
    <t>ממשלה ומוסדות</t>
  </si>
  <si>
    <t>מימון עירוני</t>
  </si>
  <si>
    <t>היטל השבחה</t>
  </si>
  <si>
    <t>בעלים</t>
  </si>
  <si>
    <t>הלוואות</t>
  </si>
  <si>
    <t>מכירת נכסים</t>
  </si>
  <si>
    <t>תקציב רב שנתי</t>
  </si>
  <si>
    <t>הצעת אגף תקציבים</t>
  </si>
  <si>
    <t>הנהלת העירייה</t>
  </si>
  <si>
    <t>שיפוצים, רכישות ועבודות בטיחות</t>
  </si>
  <si>
    <t>שיפוץ היכל העירייה</t>
  </si>
  <si>
    <t>ארכיון העיר</t>
  </si>
  <si>
    <t>סה"כ הנהלת העירייה</t>
  </si>
  <si>
    <t>מינהל הנדסה</t>
  </si>
  <si>
    <t>משרד מהנדס העיר</t>
  </si>
  <si>
    <t>עבודות מיוחדות</t>
  </si>
  <si>
    <t>מבנים מסוכנים - אגף הפיקוח על הבניה</t>
  </si>
  <si>
    <t>נגישות מתו"ס (מבנים, תשתיות וסביבה) - כולל ביצוע</t>
  </si>
  <si>
    <t>סה"כ משרד מהנדס העיר</t>
  </si>
  <si>
    <t>תכנון עיר</t>
  </si>
  <si>
    <t>סה"כ תכנון עיר</t>
  </si>
  <si>
    <t>תכנון דרכים ותנועה</t>
  </si>
  <si>
    <t>תכנון ומדידה במקומות שונים</t>
  </si>
  <si>
    <t>עבודות שונות</t>
  </si>
  <si>
    <t>נחלת יעקב-הסכם פיתוח</t>
  </si>
  <si>
    <t>רמת זמר - סלילה</t>
  </si>
  <si>
    <t>פיתוח מתחם חביבה רייך</t>
  </si>
  <si>
    <t>פארק נחל הגיבורים</t>
  </si>
  <si>
    <t>סה"כ תכנון דרכים ותנועה</t>
  </si>
  <si>
    <t>בטיחות בדרכים בתחום הגורם האנושי</t>
  </si>
  <si>
    <t>סה"כ עבודות בשיתוף ממשלה</t>
  </si>
  <si>
    <t>תכנון נוף</t>
  </si>
  <si>
    <t>מדידה ותכנון גנים</t>
  </si>
  <si>
    <t>סה"כ תכנון נוף</t>
  </si>
  <si>
    <t>נכסים</t>
  </si>
  <si>
    <t>הפקעות שונות</t>
  </si>
  <si>
    <t>רישום ופרצלציה</t>
  </si>
  <si>
    <t>שיפוץ , שינוי יעוד , מדידות והריסות מבנים</t>
  </si>
  <si>
    <t>השלמת זכות בעלות לעירייה בנכסים</t>
  </si>
  <si>
    <t>רישום והסדרת נכסי עירייה</t>
  </si>
  <si>
    <t>טיפול בנכסים ציבוריים</t>
  </si>
  <si>
    <t>רכישה ושיפוץ מבנים/קרקעות</t>
  </si>
  <si>
    <t>תחנות אם וילד</t>
  </si>
  <si>
    <t>הסרת סכנה מנכסים ציבוריים</t>
  </si>
  <si>
    <t>פרסום מכרזים</t>
  </si>
  <si>
    <t>סה"כ נכסים</t>
  </si>
  <si>
    <t>סה"כ מינהל הנדסה</t>
  </si>
  <si>
    <t>חת"ר</t>
  </si>
  <si>
    <t>מערכת חינוך</t>
  </si>
  <si>
    <t xml:space="preserve">עבודות בטיחות ובטחון </t>
  </si>
  <si>
    <t>החלפת מתקני משחק בחצרות גנ"י</t>
  </si>
  <si>
    <t>החלפת מערכות , בדיקות גילוי וכיבוי אש מוסדות חינוך</t>
  </si>
  <si>
    <t>בדיקות תקופתיות אולמות וכיבוי אש אולמות</t>
  </si>
  <si>
    <t>בדיקות כשירות תקופתיות</t>
  </si>
  <si>
    <t>סה"כ עבודות בטיחות וביטחון</t>
  </si>
  <si>
    <t>מיזוג אויר במוסדות חינוך</t>
  </si>
  <si>
    <t>ברזיות בחצרות ומתקני חימום מים וקולרים כולל התקנה</t>
  </si>
  <si>
    <t xml:space="preserve">הסבת מבנים לגנ"י </t>
  </si>
  <si>
    <t>תוספת כיתות בבתי"ס קיימים</t>
  </si>
  <si>
    <t>שיפוצים ,רכישות ומגרשי ספורט במרכזי נוער וצעירים</t>
  </si>
  <si>
    <t>סה"כ עבודות מיוחדות</t>
  </si>
  <si>
    <t>שיפוצים ובטיחות מבני חינוך וקהילה</t>
  </si>
  <si>
    <t>שיפוץ מוסדות עירוניים לפי קריטריונים</t>
  </si>
  <si>
    <t xml:space="preserve">שיפוץ מוסדות לא עירוניים </t>
  </si>
  <si>
    <t>שיפוצי שבר בבי"ס  וטיפול במפגעים מסוכנים</t>
  </si>
  <si>
    <t>שיפוצי שבר גנ"י</t>
  </si>
  <si>
    <t>שיקום מתקני משחק בחצרות גנ"י</t>
  </si>
  <si>
    <t>החלפת גדרות בבתי"ס וגנים</t>
  </si>
  <si>
    <t>שיפוץ,רכישת מתקנים לאולמות ספורט ומגרשים בבת"ס ,איטום גגות, החלפת פוליאריטן</t>
  </si>
  <si>
    <t>שיפוץ אולמות ספורט בית ספריים</t>
  </si>
  <si>
    <t>מסלול אופניים</t>
  </si>
  <si>
    <t>שיפוץ ורכישות - תנועות נוער</t>
  </si>
  <si>
    <t>סה"כ שיפוצים ובטיחות מבני חינוך</t>
  </si>
  <si>
    <t>ריהוט וציוד</t>
  </si>
  <si>
    <t>ריהוט חדרי מורים ומזכירויות (תיכוניים ויסודיים)</t>
  </si>
  <si>
    <t>שיפוצים ורכישות בבתי ספר בגין פריצות</t>
  </si>
  <si>
    <t xml:space="preserve">הצטיידות גנ"י </t>
  </si>
  <si>
    <t>סה"כ ריהוט וציוד</t>
  </si>
  <si>
    <t>פרוייקטים בשיתוף ביטוח לאומי</t>
  </si>
  <si>
    <t>סה"כ פרוייקטים בשיתוף ביטוח לאומי</t>
  </si>
  <si>
    <t>מדע וטכנולוגיה</t>
  </si>
  <si>
    <t>יוזמות פדגוגיות בשיתוף מ.החינוך</t>
  </si>
  <si>
    <t>הצטיידות מעבדות מדע וטכנולוגיה</t>
  </si>
  <si>
    <t>סה"כ מדע וטכנולוגיה</t>
  </si>
  <si>
    <t>מחשוב מוסדות חינוך</t>
  </si>
  <si>
    <t xml:space="preserve"> שדרוג מחשבים בשיתוף הפיס</t>
  </si>
  <si>
    <t>שדרוג מחשבים חלק עירוני ותוכנות</t>
  </si>
  <si>
    <t>הנהח"ש ממוחשבת</t>
  </si>
  <si>
    <t>סה"כ מיחשוב מוסדות חינוך</t>
  </si>
  <si>
    <t>סה"כ מערכת חינוך</t>
  </si>
  <si>
    <t>מערכת תרבות</t>
  </si>
  <si>
    <t>ספריות שונות - שיפוצים, הצטיידות וריהוט</t>
  </si>
  <si>
    <t>בית פאני קפלן</t>
  </si>
  <si>
    <t>בית הגפן</t>
  </si>
  <si>
    <t>סה"כ מערכת תרבות</t>
  </si>
  <si>
    <t>מערכת  רווחה</t>
  </si>
  <si>
    <t>עמותת מיל"ב - שיפוצים ורכישות</t>
  </si>
  <si>
    <t>סה"כ מערכת רווחה</t>
  </si>
  <si>
    <t>סה"כ מערכות חינוך, תרבות ורווחה</t>
  </si>
  <si>
    <t>מינהל תפעול</t>
  </si>
  <si>
    <t>מנהלי</t>
  </si>
  <si>
    <t>בינוי</t>
  </si>
  <si>
    <t xml:space="preserve">תכנון פרויקטים </t>
  </si>
  <si>
    <t>טיפול במפגעים פרטיים</t>
  </si>
  <si>
    <t>סה"כ מינהלי</t>
  </si>
  <si>
    <t>אגף תברואה</t>
  </si>
  <si>
    <t>רכישת כלי רכב</t>
  </si>
  <si>
    <t>כלי אצירה</t>
  </si>
  <si>
    <t>הצטיידות (חרמשים ומפוחים וחומרים)</t>
  </si>
  <si>
    <t>ניקוי גרפיטי</t>
  </si>
  <si>
    <t>מסתורי אשפה להגנה על עגלות</t>
  </si>
  <si>
    <t>פינוי וגניזת דברי קודש</t>
  </si>
  <si>
    <t>תגבור נקיון במתחמים מיוחדים</t>
  </si>
  <si>
    <t>תחנות מעבר</t>
  </si>
  <si>
    <t>סה"כ אגף תברואה</t>
  </si>
  <si>
    <t>שירות וטרינרי</t>
  </si>
  <si>
    <t>שירות וטרינרי - פינוי והובלת בע"ח</t>
  </si>
  <si>
    <t>עיקור וסירוס חתולי רחוב</t>
  </si>
  <si>
    <t>בניית מתחמים לשחרור כלבים</t>
  </si>
  <si>
    <t>ציוד מרפאה וריהוט לכלבייה החדשה</t>
  </si>
  <si>
    <t>סה"כ שירות וטרינרי</t>
  </si>
  <si>
    <t>אגף שפ"ע</t>
  </si>
  <si>
    <t>תמרור וסימון - הנחיות מח' תנועה</t>
  </si>
  <si>
    <t xml:space="preserve">שיפוץ פרטי מסגרות וספסלים </t>
  </si>
  <si>
    <t>שיפוץ קטעי כביש ומדרכה</t>
  </si>
  <si>
    <t xml:space="preserve">תמרורים </t>
  </si>
  <si>
    <t>צביעה וסימוני דרך</t>
  </si>
  <si>
    <t>גידור מדרונות מסוכנים</t>
  </si>
  <si>
    <t>ציוד מכני - שיקום</t>
  </si>
  <si>
    <t>ציוד בטיחות</t>
  </si>
  <si>
    <t>שיקום רחובות ומתחמים</t>
  </si>
  <si>
    <t>סלילה במקומות שונים</t>
  </si>
  <si>
    <t>שיקום מהלכי מדרגות</t>
  </si>
  <si>
    <t>מתחמים מיוחדים בטיפול מחלקת דרכים</t>
  </si>
  <si>
    <t>מספור בתים ושלטי רחובות</t>
  </si>
  <si>
    <t>נגישות דרכים</t>
  </si>
  <si>
    <t xml:space="preserve">החלפת מעקות בטיחות </t>
  </si>
  <si>
    <t>שיקום חוף שמן</t>
  </si>
  <si>
    <t>מפגעי בטיחות פרטיים</t>
  </si>
  <si>
    <t>סה"כ מחלקת דרכים</t>
  </si>
  <si>
    <t xml:space="preserve">מח' תאורה </t>
  </si>
  <si>
    <t>טיפול וביצוע מתקני תאורה</t>
  </si>
  <si>
    <t>סה"כ מחלקת תאורה</t>
  </si>
  <si>
    <t>מערכת טמ"ס ומטריצה</t>
  </si>
  <si>
    <t>בקרת תאורה</t>
  </si>
  <si>
    <t>ציוד עזר למרכז בקרה</t>
  </si>
  <si>
    <t>הקמת יח' קצה למרכז בקרה</t>
  </si>
  <si>
    <t>תמיכה במרכז בקרה לרמזורים</t>
  </si>
  <si>
    <t>שיקום מנהרת תשתיות</t>
  </si>
  <si>
    <t>החלפת פנסי רמזור וחיצי הכוונה ללדים</t>
  </si>
  <si>
    <t>סה"כ מחלקת רמזורים</t>
  </si>
  <si>
    <t>מח' גנים</t>
  </si>
  <si>
    <t xml:space="preserve">מגרשי ספורט </t>
  </si>
  <si>
    <t>הצללת מתקני משחקים</t>
  </si>
  <si>
    <t>ציפוי שבילים בגנים ציבוריים</t>
  </si>
  <si>
    <t>רכישת ציוד יעודי</t>
  </si>
  <si>
    <t>פרחי עונה</t>
  </si>
  <si>
    <t>שיפוץ אנדרטאות</t>
  </si>
  <si>
    <t>כריתה וגיזום עצים</t>
  </si>
  <si>
    <t>שיקום תשתיות מערכות השקיה</t>
  </si>
  <si>
    <t>עבודות שיפוץ שונות ופינות גן (שטחי גינון קיימים)</t>
  </si>
  <si>
    <t>פיתוח גנים במקומות שונים (שצ"פים)</t>
  </si>
  <si>
    <t xml:space="preserve">גידור ומעקות </t>
  </si>
  <si>
    <t>גינות קהילתיות</t>
  </si>
  <si>
    <t>סה"כ מחלקת גנים</t>
  </si>
  <si>
    <t>ניקוז</t>
  </si>
  <si>
    <t>ביצוע קווי ניקוז</t>
  </si>
  <si>
    <t xml:space="preserve">רשת ניקוז </t>
  </si>
  <si>
    <t>תחנות שאיבה לניקוז</t>
  </si>
  <si>
    <t>חיבור בתים לניקוז</t>
  </si>
  <si>
    <t>מזרקות</t>
  </si>
  <si>
    <t>משאבות ים</t>
  </si>
  <si>
    <t>תכנון ניקוז</t>
  </si>
  <si>
    <t>סה"כ ניקוז</t>
  </si>
  <si>
    <t>בית מרחץ עירוני</t>
  </si>
  <si>
    <t>סה"כ בית מרחץ עירוני</t>
  </si>
  <si>
    <t>סה"כ אגף שפ"ע</t>
  </si>
  <si>
    <t>חופים עירוניים</t>
  </si>
  <si>
    <t>תאורה בחופים</t>
  </si>
  <si>
    <t xml:space="preserve">מערכת כריזה בחופים </t>
  </si>
  <si>
    <t>שיפוצים, עבודות שיקום ובניה בחופי הרחצה</t>
  </si>
  <si>
    <t>פיתוח במימון ממשלתי</t>
  </si>
  <si>
    <t>סה"כ חופים עירוניים</t>
  </si>
  <si>
    <t>בטחון</t>
  </si>
  <si>
    <t>עבודות בטחון, בטיחות ושע"ח</t>
  </si>
  <si>
    <t>המח' להג"א ומקלטים</t>
  </si>
  <si>
    <t>משמר אזרחי</t>
  </si>
  <si>
    <t>מצלמות בשכונות</t>
  </si>
  <si>
    <t>סה"כ ביטחון</t>
  </si>
  <si>
    <t xml:space="preserve">פיקוח </t>
  </si>
  <si>
    <t>ציוד חירום (גדרות, פנסים, רמקולים וכו')</t>
  </si>
  <si>
    <t>סה"כ פיקוח</t>
  </si>
  <si>
    <t>פרוייקטים בשיתוף מ. ממשלה</t>
  </si>
  <si>
    <t>הסדרים גיאומטריים</t>
  </si>
  <si>
    <t>רימזור בצמתים</t>
  </si>
  <si>
    <t>ניהול תנועה</t>
  </si>
  <si>
    <t>סה"כ פרוייקטים בשיתוף משרדי ממשלה</t>
  </si>
  <si>
    <t>רשות החניה</t>
  </si>
  <si>
    <t>סה"כ רשות חניה</t>
  </si>
  <si>
    <t>סה"כ מינהל תפעול</t>
  </si>
  <si>
    <t>חברות ועמותות</t>
  </si>
  <si>
    <t>מוזיאונים</t>
  </si>
  <si>
    <t>מוזיאונים - שיפוצים ורכישות</t>
  </si>
  <si>
    <t>שיפורים אנרגטיים במבני המוזיאונים</t>
  </si>
  <si>
    <t>חידוש המוזיאון הימי הלאומי</t>
  </si>
  <si>
    <t>שיפוץ מוזיאון מאנה כץ</t>
  </si>
  <si>
    <t>הנגשת המוזיאונים לנכים</t>
  </si>
  <si>
    <t>סה"כ מוזיאונים</t>
  </si>
  <si>
    <t>אתו"ס</t>
  </si>
  <si>
    <t>שיפוצים ורכישות-מקומות שונים</t>
  </si>
  <si>
    <t>אצטדיונים ומגרשי ספורט</t>
  </si>
  <si>
    <t>אודיטוריום</t>
  </si>
  <si>
    <t>גן חיות</t>
  </si>
  <si>
    <t>תזמורת סימפונית</t>
  </si>
  <si>
    <t xml:space="preserve"> היכל הספורט רוממה</t>
  </si>
  <si>
    <t>סה"כ אתו"ס</t>
  </si>
  <si>
    <t>פרויקטים שונים</t>
  </si>
  <si>
    <t>סה"כ חברות ועמותות</t>
  </si>
  <si>
    <t>תיירותיים</t>
  </si>
  <si>
    <t>סיורי רגולר</t>
  </si>
  <si>
    <t>מיזמים תיירותיים</t>
  </si>
  <si>
    <t>פיתוח פרויקטים ושיווק תיירותי חיפה</t>
  </si>
  <si>
    <t>סה"כ תיירותיים</t>
  </si>
  <si>
    <t>אחרים</t>
  </si>
  <si>
    <t>פרוייקטים בשיתוף אוניברסיטה</t>
  </si>
  <si>
    <t>הוצאות בגין נזקים-ביטוח</t>
  </si>
  <si>
    <t>שכ"ט שמאים</t>
  </si>
  <si>
    <t>קליטת עלייה בחיפה - שיפוצים והצטיידות</t>
  </si>
  <si>
    <t>פרויקטים בשיתוף הטכניון</t>
  </si>
  <si>
    <t>סה"כ אחרים</t>
  </si>
  <si>
    <t xml:space="preserve">רכבל </t>
  </si>
  <si>
    <t>תכנית אב</t>
  </si>
  <si>
    <t>אבן גבירול</t>
  </si>
  <si>
    <t>תכנון תח"צ</t>
  </si>
  <si>
    <t>נת"צ הדר</t>
  </si>
  <si>
    <t xml:space="preserve">מטרונית-רכבת קלה </t>
  </si>
  <si>
    <t>רחוב העליה השנייה</t>
  </si>
  <si>
    <t>דרך נחל הגיבורים</t>
  </si>
  <si>
    <t>חיבור מנהרות לדרך הקישון - ביצוע</t>
  </si>
  <si>
    <t>מבני תרבות וחינוך במימון הפיס</t>
  </si>
  <si>
    <t>סה"כ מבני תרבות וחינוך במימון הפיס</t>
  </si>
  <si>
    <t>בינוי - משרד החינוך</t>
  </si>
  <si>
    <t>סה"כ בינוי-משרד החינוך</t>
  </si>
  <si>
    <t>סה"כ תחבורה, בינוי ותשתיות</t>
  </si>
  <si>
    <t>מינהל כספים</t>
  </si>
  <si>
    <t>מיחשוב העיריה</t>
  </si>
  <si>
    <t>מיחשוב העירייה</t>
  </si>
  <si>
    <t>עיקולים ברישום</t>
  </si>
  <si>
    <t>מסופוני חניה</t>
  </si>
  <si>
    <t>מיחשוב מינהל הנדסה GIS</t>
  </si>
  <si>
    <t>יעודי קרקע</t>
  </si>
  <si>
    <t>סה"כ מיחשוב העיריה</t>
  </si>
  <si>
    <t>סה"כ מינהל כספים</t>
  </si>
  <si>
    <t>סה"כ תקציב פיתוח</t>
  </si>
  <si>
    <t>הכנה לאירועים</t>
  </si>
  <si>
    <t>שיקום נקודתי</t>
  </si>
  <si>
    <t>תח"צ רכס הכרמל</t>
  </si>
  <si>
    <t>חיבורי נמל - תכנון וביצוע</t>
  </si>
  <si>
    <t>מסופי תח"צ-מרכזית המפרץ</t>
  </si>
  <si>
    <t>חוק האריזות - הפרדה במקור כולל רכש משאיות ,כלי אצירה, אביזרים נדרשים וסקרים</t>
  </si>
  <si>
    <t>מוקדי מיחזור שכונתיים חוק האריזות</t>
  </si>
  <si>
    <t>יועץ תברואתי שוטף</t>
  </si>
  <si>
    <t>שלטי רחוב מוארים (סולאריים)</t>
  </si>
  <si>
    <t>התקנות אלפסק</t>
  </si>
  <si>
    <t>החלפת גומי בהתאם לדוחות מכון התקנים</t>
  </si>
  <si>
    <t>הדברה של תוואי התהלוכה וחדקונית הדקל</t>
  </si>
  <si>
    <t>אירועים בגנים</t>
  </si>
  <si>
    <t>שיפוץ תאי שירותים במוסדות חינוך</t>
  </si>
  <si>
    <t xml:space="preserve">רכישת ציוד ספורט לבתי"ס </t>
  </si>
  <si>
    <t>שיפוץ חזיתות ומבנים במקומות שונים</t>
  </si>
  <si>
    <t>מעונות יום</t>
  </si>
  <si>
    <t>תקציב 2014</t>
  </si>
  <si>
    <t>מתנ"ס רמות</t>
  </si>
  <si>
    <t>פינוי דירות צווי בית משפט (אספני גרוטאות)</t>
  </si>
  <si>
    <t>מערכת מחשובית לשקילה בתחנות מעבר וניהול כלי אצירה לפסולת ומחזור</t>
  </si>
  <si>
    <t>שיקום מנהרות וגשרים</t>
  </si>
  <si>
    <t>רכש ציוד לחסכון באנרגיה</t>
  </si>
  <si>
    <t>שיקום פארק הכט ,פארק שקמונה, טיילת מרידיאן ואצטדיון</t>
  </si>
  <si>
    <t>שיקום דקים ברחבי העיר</t>
  </si>
  <si>
    <t>שיקום חדרי שירותים ומקוואות</t>
  </si>
  <si>
    <t>תוכנית אב לספורט</t>
  </si>
  <si>
    <t xml:space="preserve">פרויקטים קטנים, שיפוצים, רכישות, הצטיידות, בטיחות מבני תרבות שונים </t>
  </si>
  <si>
    <t>קישוט העיר, דגלים, מיצגי אור</t>
  </si>
  <si>
    <t>הפירמידה משכן לאומנויות  - השלמות והצטיידות</t>
  </si>
  <si>
    <t>שוק תלפיות</t>
  </si>
  <si>
    <t>תח"צ נו"ש</t>
  </si>
  <si>
    <t>ריהוט כיתות בבתי ספר קיימים</t>
  </si>
  <si>
    <t>פיתוח ליד גנ"י ומבני ציבור</t>
  </si>
  <si>
    <t>התאמה לבתי ספר יחודיים</t>
  </si>
  <si>
    <t>תחנות אוטובוס וסככות ישנות</t>
  </si>
  <si>
    <t>תחבורה,בינוי ותשתיות</t>
  </si>
  <si>
    <t>הרשאות 2014</t>
  </si>
  <si>
    <t>תקציב 2015</t>
  </si>
  <si>
    <t>פינוי אשפה (כולל  גזם, צמיגים ,היטל מיחזור, נייר וקרטון)</t>
  </si>
  <si>
    <t>מבנים מסוכנים, קירות תומכים</t>
  </si>
  <si>
    <t>החלפת עמודי תאורה</t>
  </si>
  <si>
    <t>ציוד תקשורת סלולרית</t>
  </si>
  <si>
    <t>אביזרי בטיחות בתנועה</t>
  </si>
  <si>
    <t>מצלמות לאיתור עבירות</t>
  </si>
  <si>
    <t>שדרוג מצלמות קיימות</t>
  </si>
  <si>
    <t>ניידת חמבגן - הצטיידות, תיקון ובלאי</t>
  </si>
  <si>
    <t>מגרשים חיצוניים, שיפוץ וציפוי ספורטקוט</t>
  </si>
  <si>
    <t>פיתוח ומיתוג עיר תחתית</t>
  </si>
  <si>
    <t>יועצים</t>
  </si>
  <si>
    <t>רח' מח"ל היטלים</t>
  </si>
  <si>
    <t>תפעול והצטיידות אתר אינטרנט</t>
  </si>
  <si>
    <t>תקציב 2016</t>
  </si>
  <si>
    <t>הרשאות 2015</t>
  </si>
  <si>
    <t>ידוע ציבור על עבודות בביצוע</t>
  </si>
  <si>
    <t>אולם ספורט -  נאות פרס</t>
  </si>
  <si>
    <t>שירותים מונעים (ציבוריים והצטידות)</t>
  </si>
  <si>
    <t>חביות לביעור חמץ והגנה לל"ג בעומר</t>
  </si>
  <si>
    <t>דחסניות ומכולות ברחבי העיר</t>
  </si>
  <si>
    <t>קרצ"ר</t>
  </si>
  <si>
    <t>מח' רמזורים/מרכז ניהול תנועה במטרופולין חיפה</t>
  </si>
  <si>
    <t>מתקני כושר הקמה ושיקום</t>
  </si>
  <si>
    <t>עבודות שיפוץ שונות ופינות גן (בצירים ראשיים)</t>
  </si>
  <si>
    <t>מניעת שריפות-יצירת אזורי חייץ</t>
  </si>
  <si>
    <t>שיפוץ שיקום והעמדת פרגולות</t>
  </si>
  <si>
    <t>ניקיון גנים בשבתות וחגים</t>
  </si>
  <si>
    <t>פינויים כולל קיוסקים</t>
  </si>
  <si>
    <t>שיפוץ והצטידות משרדי חינוך</t>
  </si>
  <si>
    <t>הצללת חצרות בת"ס וגנ"י</t>
  </si>
  <si>
    <t>מדרגות חירום</t>
  </si>
  <si>
    <t>תכנון ומדידות</t>
  </si>
  <si>
    <t>הנגשה כללית - מוסדות חינוך</t>
  </si>
  <si>
    <t>התאמת כיתות לילדים לקויי שמיעה</t>
  </si>
  <si>
    <t>הנגשת אירועים</t>
  </si>
  <si>
    <t>בית מילר- השלמות שיפוץ מעלית והצטיידות</t>
  </si>
  <si>
    <t>מרכז קהילתי דניה  -  הצטיידות</t>
  </si>
  <si>
    <t>טיפול בגשרים ומבני דרך</t>
  </si>
  <si>
    <t>שבילי אופניים ברחבי העיר</t>
  </si>
  <si>
    <t>התקנת מערכות לפינוי עשן במוזיאון הימי ובמוזיאון טיקוטין</t>
  </si>
  <si>
    <t>תצוגת קבע במוזיאון העיר-ביה"ס הטמפלרי</t>
  </si>
  <si>
    <t>הרשאות 2016</t>
  </si>
  <si>
    <t>תקציב 2017</t>
  </si>
  <si>
    <t>הרשאות 2017</t>
  </si>
  <si>
    <t>מערך לשיתוף רכב חשמלי</t>
  </si>
  <si>
    <t>שיקום חורשות לאחר השריפה</t>
  </si>
  <si>
    <t>ניקיון באירועים</t>
  </si>
  <si>
    <t>שדרוג תחנת דנו (גזם ואריזות)</t>
  </si>
  <si>
    <t>טיפול באסבסט בשטחים ציבוריים</t>
  </si>
  <si>
    <t>התקנת 150 איתורנים לרכבי עבודה</t>
  </si>
  <si>
    <t>שיפוץ הכלביה החדשה</t>
  </si>
  <si>
    <t>מיפוי תשתיות</t>
  </si>
  <si>
    <t>הנהלת אגף שפע</t>
  </si>
  <si>
    <t>מחלקת דרכים</t>
  </si>
  <si>
    <t>סה"כ הנהלת אגף שפע</t>
  </si>
  <si>
    <t>המחלקה לניהול ופיקוח על פרויקטים</t>
  </si>
  <si>
    <t>סה"כ מחלקת ניהול ופיקוח על פרויקטים</t>
  </si>
  <si>
    <t>גני משחק</t>
  </si>
  <si>
    <t>החלפת פחי אשפה בגנים (נגד חזירים ועורבים)</t>
  </si>
  <si>
    <t>שילוט בגנים ובגינות הכלבים</t>
  </si>
  <si>
    <t>רכישת 60 מסופונים</t>
  </si>
  <si>
    <t>אכיפה כנגד משאיות מזהמות</t>
  </si>
  <si>
    <t>אכיפה בעזרת מצלמות בנת"צ</t>
  </si>
  <si>
    <t>שיקום וצביעה - חזיתות בית ספר</t>
  </si>
  <si>
    <t>הצטיידות מרכזים קהילתיים</t>
  </si>
  <si>
    <t>בי"ס נירים - פיתוח סביבתי</t>
  </si>
  <si>
    <t>בניית מועדון קהילתי ורדיה</t>
  </si>
  <si>
    <t>מיזוג אולמות ספורט בית ספריים</t>
  </si>
  <si>
    <t>מיזוג וביטוח מזגנים</t>
  </si>
  <si>
    <t>שיפוץ מחלקה איזורית באיזור מערב חיפה</t>
  </si>
  <si>
    <t>בניית שני גנים דו לשוני</t>
  </si>
  <si>
    <t>בניית אגף בית ספר אליאנס</t>
  </si>
  <si>
    <t>בניית אגף בי"ס פיכמן</t>
  </si>
  <si>
    <t>תוספת בנייה יחל ישראל</t>
  </si>
  <si>
    <t>בניית גן ילדים שכונת רוממה</t>
  </si>
  <si>
    <t>חיזוק רע"ד עירוני א אגף א</t>
  </si>
  <si>
    <t>בי"ס חייואר- תוספת אגף</t>
  </si>
  <si>
    <t>מרכז הורים וילדים</t>
  </si>
  <si>
    <t>הצטיידות בי"ס חוגים חדש</t>
  </si>
  <si>
    <t>סקר כמות חזירי בר בחיפה</t>
  </si>
  <si>
    <t>תוספת בנייה בי"ס דתי לקהילת צאנז</t>
  </si>
  <si>
    <t>מעגלים רחוב חלוצי התעשייה</t>
  </si>
  <si>
    <t>הפרדה מפלסית במת"מ</t>
  </si>
  <si>
    <t>תכנון הנגשת מבני תרבות</t>
  </si>
  <si>
    <t>הצטיידות חירום מינהל החת"ר</t>
  </si>
  <si>
    <t>עירונית קריית חיים</t>
  </si>
  <si>
    <t>תקציב פיתוח הצעת היחידות</t>
  </si>
  <si>
    <t>יתרה מועברת ל- 2019</t>
  </si>
  <si>
    <t>אומדן יתרה ל-2019</t>
  </si>
  <si>
    <t>יתרה המועברת ל- 2019-  מימון עירוני</t>
  </si>
  <si>
    <t xml:space="preserve">תקציב פיתוח 2019 - הצעת היחידות </t>
  </si>
  <si>
    <t>מימון תקציב פיתוח 2019 הצעת היחידות</t>
  </si>
  <si>
    <t>תקציב 2018</t>
  </si>
  <si>
    <t>מגורים, מלונאות והתחדשות עירונית</t>
  </si>
  <si>
    <t>תוכניות שונות, שיתוף ציבור, נכסים עירונים ושימור</t>
  </si>
  <si>
    <t>תעסוקה, תשתיות ודרכים</t>
  </si>
  <si>
    <t>השלמה פיתוח בשכונות - היטל דרכים</t>
  </si>
  <si>
    <t>שינוים בכרמליה - תכנון וביצוע</t>
  </si>
  <si>
    <t>אזור תעשיה חפ/1704 ליד הצ'ק פוסט</t>
  </si>
  <si>
    <t>אזור תעשיה חפ/1767 תכנון</t>
  </si>
  <si>
    <t>רמת הנשיא (חביב) - סלילה</t>
  </si>
  <si>
    <t>מבואות דרומיים - מערכת כבישים וגשר</t>
  </si>
  <si>
    <t>פרויקטים בשיתוף מ.ממשלה</t>
  </si>
  <si>
    <t>רחוב משאש - מעגל תנועה</t>
  </si>
  <si>
    <t xml:space="preserve">מדידות </t>
  </si>
  <si>
    <t>רחוב קדושי בגדד</t>
  </si>
  <si>
    <t>רחוב יורדי הים</t>
  </si>
  <si>
    <t>אזור תעשיה חפ/1706 תכנון</t>
  </si>
  <si>
    <t>רמת אלמוגי (אנטנות)</t>
  </si>
  <si>
    <t>קירוי מגרש בטיחות בדרכים</t>
  </si>
  <si>
    <t>תכנון טיילת קרית חיים חוף כאן</t>
  </si>
  <si>
    <t>ביצוע שצ"פ לצורך השלמת פריסה</t>
  </si>
  <si>
    <t>גינון שצ"פ ליד מעונות הסטודנטים בנו"ש</t>
  </si>
  <si>
    <t>שוק תלפיות הסרת סכנה</t>
  </si>
  <si>
    <t>מחשב לכל ילד (נייח)</t>
  </si>
  <si>
    <t>מחשב לכל תלמיד (נייד)</t>
  </si>
  <si>
    <t>שיקום ואדיות</t>
  </si>
  <si>
    <t>הפרש הרשאות 2018-2017</t>
  </si>
  <si>
    <t>הפרש תקציב 2018-2017</t>
  </si>
  <si>
    <t>בטיחות ונגישות בית המרחץ</t>
  </si>
  <si>
    <t>ביצוע התאמות לשינויי תנועה בקרית חיים</t>
  </si>
  <si>
    <t>אצטדיון אתלטיקה</t>
  </si>
  <si>
    <t>מגרשי אתוס</t>
  </si>
  <si>
    <t>בית הכט</t>
  </si>
  <si>
    <t>בית המוזיקה</t>
  </si>
  <si>
    <t>סינמטק</t>
  </si>
  <si>
    <t>שיפוצים - קהילת הדר</t>
  </si>
  <si>
    <t>בניית גן ילדים פרץ מרקיש נווה שאנן</t>
  </si>
  <si>
    <t>תוכנית מתאר חיפה</t>
  </si>
  <si>
    <t>חזית ים</t>
  </si>
  <si>
    <t>אכיפה יזומה שוטרים בתשלום</t>
  </si>
  <si>
    <t>שיתוף ציבור שימועים לשיפוץ חזיתות</t>
  </si>
  <si>
    <t>הסדרת כניסה לתחנת רכבת ולקמפוס הנמל</t>
  </si>
  <si>
    <t>דרגנועים ברחבי העיר</t>
  </si>
  <si>
    <t>השלמת כביש מגדל אור</t>
  </si>
  <si>
    <t>רחוב הרב חלפון</t>
  </si>
  <si>
    <t>שביל כליל החורש ומורן</t>
  </si>
  <si>
    <t>רחוב אמיל זולא , כל ישראל חברים, ויקטור הוגו, סמטת לואי</t>
  </si>
  <si>
    <t>שילוט עיר תחתית</t>
  </si>
  <si>
    <t>ציר ההסתדרות כביש פנימי מצפון לדרום</t>
  </si>
  <si>
    <t>רחוב בועז - הסדרת צמתים</t>
  </si>
  <si>
    <t>תכנית אב לחניה ובטיחות בנווה שאנן</t>
  </si>
  <si>
    <t>שיפורי בטיחות</t>
  </si>
  <si>
    <t>מחשוב תהליכים תיוק וסריקה</t>
  </si>
  <si>
    <t>מורדות ורדיה- הסכם פיתוח</t>
  </si>
  <si>
    <t>גן האם</t>
  </si>
  <si>
    <t>גן האומגה ברחוב דורי</t>
  </si>
  <si>
    <t>חוברת שפה רחוב חיפאי</t>
  </si>
  <si>
    <t>חיבור פארק הכט לטיילת החדשה</t>
  </si>
  <si>
    <t>גן הזמר הדר ליד חוגים</t>
  </si>
  <si>
    <t>תכנון טיילת בת גלים - שביל אופניים</t>
  </si>
  <si>
    <t xml:space="preserve">טמוני קרקע </t>
  </si>
  <si>
    <t>מסתורי אשפה בקרית חיים</t>
  </si>
  <si>
    <t>מנהלת עיר תחתית - אשפתונים בלבד</t>
  </si>
  <si>
    <t>שטיפות כלליות וחומרים במתחמים מיוחדים</t>
  </si>
  <si>
    <t>מתקני קיבוע לפחים נגד חזירי בר</t>
  </si>
  <si>
    <t>טיפול באוכלוסיית חיות בר</t>
  </si>
  <si>
    <t>הקמת תחנות להאכלת חתולים</t>
  </si>
  <si>
    <t>תחרות קריה יפה שפ"ע</t>
  </si>
  <si>
    <t>סימולטור עירוני</t>
  </si>
  <si>
    <t>חבלים תפעוליים</t>
  </si>
  <si>
    <t>ציוד בטיחות רמזורים</t>
  </si>
  <si>
    <t>שדרוג כיכרות (טקסים מזכיר העיר)</t>
  </si>
  <si>
    <t>שדרוג ברזיות</t>
  </si>
  <si>
    <t>טיילת בת גלים הוליסטי</t>
  </si>
  <si>
    <t>התקנת תיבות לשקיות כלבים (ורכישת שקיות)</t>
  </si>
  <si>
    <t>סקר מערכות מים</t>
  </si>
  <si>
    <t>גן המדעטק</t>
  </si>
  <si>
    <t xml:space="preserve">תכנית אב לניקוז </t>
  </si>
  <si>
    <t>השבת מים</t>
  </si>
  <si>
    <t>חוף הכרמל דגל כחול</t>
  </si>
  <si>
    <t>תחנת הצלה חדשה קרית חיים מגדל 4 + פיתוח סביבתי</t>
  </si>
  <si>
    <t>תחנת הצלה חדשה חוף הסטודנטים 7 + פיתוח סביבתי</t>
  </si>
  <si>
    <t xml:space="preserve">מצופי הפרדה חוף השקט  </t>
  </si>
  <si>
    <t>החלפת גג מבנה מסוכן חוף בת גלים (שירותים,מקלחות, מרפאה וכו..)</t>
  </si>
  <si>
    <t>הכשרת נקודה להורדת כלי שייט ממונעים</t>
  </si>
  <si>
    <t>שובר גלים חוף הכרמל (מרידיאן)</t>
  </si>
  <si>
    <t>מצלמות עיר תחתית + קמפוס הנמל</t>
  </si>
  <si>
    <t>מיגון היכל העירייה + מינהל הנדסה</t>
  </si>
  <si>
    <t>ציוד בטיחות פיקוח</t>
  </si>
  <si>
    <t>כרמלית - השלמות לדרישות כיבוי אש</t>
  </si>
  <si>
    <t>כרמלית - רכישת טנדר תפעול חדש</t>
  </si>
  <si>
    <t xml:space="preserve">מרכז קהילתי סביוני דניה  </t>
  </si>
  <si>
    <t>מרכז נוער כרמליה</t>
  </si>
  <si>
    <t>בית יעקב יסודי - השלמה ל- 32 כיתות</t>
  </si>
  <si>
    <t>התאמת שתי כיתות גן בבי"ס גיל</t>
  </si>
  <si>
    <t>בניית גן ילדים קריית חיים מערבית</t>
  </si>
  <si>
    <t>בניית שני גני ילדים קרית שמואל</t>
  </si>
  <si>
    <t>בניית גן ילדים קרית אליעזר</t>
  </si>
  <si>
    <t>בניית גן ילדים כרמל מערבי</t>
  </si>
  <si>
    <t>בניית שני גני ילדים ואדי סאליב</t>
  </si>
  <si>
    <t>בניית ארבעה גני ילדים נאות פרס</t>
  </si>
  <si>
    <t>תיכון בסמת חדש</t>
  </si>
  <si>
    <t>בניית בית ספר דו לשוני 12 כיתות כבאביר</t>
  </si>
  <si>
    <t>התאמת מבנה מטה חינוך לבי"ס יסודי</t>
  </si>
  <si>
    <t>התאמת מבנה מטה מנהל תפעול לבי"ס יסודי</t>
  </si>
  <si>
    <t>תכנון הנגשה פרטנית</t>
  </si>
  <si>
    <t>הצטיידות חיוואר</t>
  </si>
  <si>
    <t>הצטיידות דוד ילין</t>
  </si>
  <si>
    <t>עיצוב ספריות</t>
  </si>
  <si>
    <t>עיצוב מרחבי למידה</t>
  </si>
  <si>
    <t>התאמת מבנה חוגים ליסודי דוד ילין</t>
  </si>
  <si>
    <t>תוספת אגף אינשטיין</t>
  </si>
  <si>
    <t>יסודי גור 16 כיתות</t>
  </si>
  <si>
    <t>אינטרנט פירמידה</t>
  </si>
  <si>
    <t>מרכז קהילתי אשכול - הצטיידות</t>
  </si>
  <si>
    <t>מרכז קהילתי ורדיה - הצטיידות</t>
  </si>
  <si>
    <t>בית רסלר - הצטיידות ושיפוצים</t>
  </si>
  <si>
    <t>בית יציב  - הצטיידות ושיפוצים</t>
  </si>
  <si>
    <t>ספריית פבזנר - שיפוצים והצטיידות</t>
  </si>
  <si>
    <t>שיפוץ שירותים מרכז עבאס</t>
  </si>
  <si>
    <t>שיפוץ המחלקה לנוער צעירים  - י.ל.פרץ</t>
  </si>
  <si>
    <t>הצללה בשוק הפשפשים</t>
  </si>
  <si>
    <t>מדרחוב הנמל</t>
  </si>
  <si>
    <t xml:space="preserve">עמודי חסימה בולדרים </t>
  </si>
  <si>
    <t>החלפת חלונות,דלתות סורגים ומעקות במוס"ח</t>
  </si>
  <si>
    <t>פתיחת גנ"י חדשים (הצטיידות)</t>
  </si>
  <si>
    <t xml:space="preserve">מיזוג אולמות ספורט עירוניים </t>
  </si>
  <si>
    <t xml:space="preserve">שיפוץ מבני האגף </t>
  </si>
  <si>
    <t>בדיקת הרחבת בתי ספר בשכונות התחדשות עירונית</t>
  </si>
  <si>
    <t>גני משחק במימון מפעל הפיס</t>
  </si>
  <si>
    <t>צהל - הסדרת בטיחות</t>
  </si>
  <si>
    <t>לאון בלום - פיתוח כיכרות</t>
  </si>
  <si>
    <t>דרך הים  - שיפורי תאורה</t>
  </si>
  <si>
    <t>גן אלנבי בכרמל</t>
  </si>
  <si>
    <t>יסודי בנות גור 8 כיתות</t>
  </si>
  <si>
    <t>גני ילדים גור-4 גנים</t>
  </si>
  <si>
    <t>על יסודי בנות גור-3 כתות</t>
  </si>
  <si>
    <t>התאמת מזור</t>
  </si>
  <si>
    <t>פיתוח פרוטוקול + עדכון מערכת (מכרז רמזורים חדש)</t>
  </si>
  <si>
    <t>הסדרת עקיבא</t>
  </si>
  <si>
    <t>ביצוע רחוב בלפור</t>
  </si>
  <si>
    <t>ביצוע רחוב ארלוזרוב</t>
  </si>
  <si>
    <t>מערכת תוכנת יתרון</t>
  </si>
  <si>
    <t>פינוי פסולת בשטחים עירוניים</t>
  </si>
  <si>
    <t>תקציב 2018 נכון לתאריך 29.11.18</t>
  </si>
  <si>
    <t>הרשאות 2018 נכון לתאריך 29.11.18</t>
  </si>
  <si>
    <t>בניית גן דתי ממ"ד בקרית אליעזר</t>
  </si>
  <si>
    <t>חיזוק רע"ד ת. קרית חיים</t>
  </si>
  <si>
    <t>שני מגרשי סחבק</t>
  </si>
  <si>
    <t>מצלמות גוף למפקחים</t>
  </si>
  <si>
    <t>תיאטרון - הרחבת במה 3 וקמפוס</t>
  </si>
  <si>
    <t>תיאטרון - בית היוצר 23</t>
  </si>
  <si>
    <t>שעוני נוכחות-חוזה</t>
  </si>
  <si>
    <t>גן בורוכוב</t>
  </si>
  <si>
    <t>ראש פינה נגב</t>
  </si>
  <si>
    <t>חידוש איזור מערבי של עיר תחתית עד עין דור</t>
  </si>
  <si>
    <t>הוצאות גביית היטלי פיתוח</t>
  </si>
  <si>
    <t>רחוב האסיף בין שמשון וטנא</t>
  </si>
  <si>
    <t>רב שנתי</t>
  </si>
  <si>
    <t>גינון באנדרי סחרוב</t>
  </si>
  <si>
    <t>ניטור נחילי מדוזות</t>
  </si>
  <si>
    <t xml:space="preserve">פרוייקט חותם </t>
  </si>
  <si>
    <t>תאגידים, עמותות ותרומות</t>
  </si>
  <si>
    <t>סה"כ תאגידים, עמותות ותרומות</t>
  </si>
  <si>
    <t>פרויקטים בשיתוף משרד התחבורה</t>
  </si>
  <si>
    <t>סה"כ פרויקטים בשיתוף משרד התחבורה</t>
  </si>
  <si>
    <t xml:space="preserve"> תקציב פיתוח 2019</t>
  </si>
  <si>
    <t>תקציב פיתוח 2019</t>
  </si>
  <si>
    <t>עמודה1</t>
  </si>
  <si>
    <t>עמודה2</t>
  </si>
  <si>
    <t>עמודה3</t>
  </si>
  <si>
    <t>עמודה4</t>
  </si>
  <si>
    <t>עמודה5</t>
  </si>
  <si>
    <t>עמודה6</t>
  </si>
  <si>
    <t>עמודה7</t>
  </si>
  <si>
    <t>עמודה8</t>
  </si>
  <si>
    <t>עמודה9</t>
  </si>
  <si>
    <t>עמודה10</t>
  </si>
  <si>
    <t>עמודה11</t>
  </si>
  <si>
    <t>עמודה12</t>
  </si>
  <si>
    <t>עמודה13</t>
  </si>
  <si>
    <t>עמודה14</t>
  </si>
  <si>
    <t>עמודה15</t>
  </si>
  <si>
    <t>עמודה16</t>
  </si>
  <si>
    <t>עמודה17</t>
  </si>
  <si>
    <t>עמודה18</t>
  </si>
  <si>
    <t>עמודה19</t>
  </si>
  <si>
    <t>עמודה20</t>
  </si>
  <si>
    <t>עמודה21</t>
  </si>
  <si>
    <t>עמודה22</t>
  </si>
  <si>
    <t>עמודה23</t>
  </si>
  <si>
    <t>עמודה24</t>
  </si>
  <si>
    <t>עמודה25</t>
  </si>
  <si>
    <t>מספר סידורי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</si>
</sst>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₪&quot;\ * #,##0.00_ ;_ &quot;₪&quot;\ * \-#,##0.00_ ;_ &quot;₪&quot;\ * &quot;-&quot;??_ ;_ @_ "/>
    <numFmt numFmtId="43" formatCode="_ * #,##0.00_ ;_ * \-#,##0.00_ ;_ * &quot;-&quot;??_ ;_ @_ "/>
    <numFmt numFmtId="164" formatCode="_ * #,##0_ ;_ * \-#,##0_ ;_ * &quot;-&quot;??_ ;_ @_ "/>
  </numFmts>
  <fonts count="23" x14ac:knownFonts="1">
    <font>
      <sz val="11"/>
      <color theme="1"/>
      <name val="Arial"/>
      <family val="2"/>
      <charset val="177"/>
      <scheme val="minor"/>
    </font>
    <font>
      <b/>
      <sz val="20"/>
      <name val="Arial"/>
      <family val="2"/>
    </font>
    <font>
      <b/>
      <sz val="19"/>
      <name val="Arial"/>
      <family val="2"/>
    </font>
    <font>
      <sz val="20"/>
      <name val="Times New Roman"/>
      <family val="1"/>
      <charset val="177"/>
    </font>
    <font>
      <sz val="20"/>
      <name val="Times New Roman"/>
      <family val="1"/>
    </font>
    <font>
      <b/>
      <sz val="20"/>
      <name val="Times New Roman"/>
      <family val="1"/>
    </font>
    <font>
      <sz val="20"/>
      <name val="Arial"/>
      <family val="2"/>
    </font>
    <font>
      <b/>
      <sz val="20"/>
      <name val="Times New Roman"/>
      <family val="1"/>
      <charset val="177"/>
    </font>
    <font>
      <u/>
      <sz val="10"/>
      <color indexed="12"/>
      <name val="Arial"/>
      <family val="2"/>
    </font>
    <font>
      <sz val="24"/>
      <name val="Times New Roman"/>
      <family val="1"/>
    </font>
    <font>
      <sz val="20"/>
      <name val="MS Sans Serif"/>
      <family val="2"/>
      <charset val="177"/>
    </font>
    <font>
      <sz val="18"/>
      <name val="Arial"/>
      <family val="2"/>
    </font>
    <font>
      <sz val="10"/>
      <name val="Arial"/>
      <family val="2"/>
    </font>
    <font>
      <b/>
      <sz val="22"/>
      <name val="Arial"/>
      <family val="2"/>
    </font>
    <font>
      <b/>
      <u/>
      <sz val="22"/>
      <name val="Arial"/>
      <family val="2"/>
    </font>
    <font>
      <sz val="22"/>
      <name val="Arial"/>
      <family val="2"/>
    </font>
    <font>
      <sz val="22"/>
      <name val="Times New Roman"/>
      <family val="1"/>
    </font>
    <font>
      <sz val="11"/>
      <color theme="1"/>
      <name val="Arial"/>
      <family val="2"/>
      <charset val="177"/>
      <scheme val="minor"/>
    </font>
    <font>
      <sz val="11"/>
      <name val="Arial"/>
      <family val="2"/>
      <charset val="177"/>
      <scheme val="minor"/>
    </font>
    <font>
      <b/>
      <sz val="20"/>
      <color rgb="FFFF0000"/>
      <name val="Times New Roman"/>
      <family val="1"/>
    </font>
    <font>
      <sz val="20"/>
      <color rgb="FFFF0000"/>
      <name val="Times New Roman"/>
      <family val="1"/>
    </font>
    <font>
      <sz val="16"/>
      <color theme="1"/>
      <name val="Arial"/>
      <family val="2"/>
      <charset val="177"/>
      <scheme val="minor"/>
    </font>
    <font>
      <sz val="22"/>
      <color theme="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43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1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right" vertical="center"/>
    </xf>
    <xf numFmtId="164" fontId="5" fillId="0" borderId="5" xfId="1" applyNumberFormat="1" applyFont="1" applyFill="1" applyBorder="1" applyAlignment="1">
      <alignment horizontal="right" vertical="center" wrapText="1"/>
    </xf>
    <xf numFmtId="3" fontId="4" fillId="0" borderId="5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vertical="center"/>
    </xf>
    <xf numFmtId="3" fontId="4" fillId="2" borderId="5" xfId="0" applyNumberFormat="1" applyFont="1" applyFill="1" applyBorder="1" applyAlignment="1">
      <alignment horizontal="right" vertical="center"/>
    </xf>
    <xf numFmtId="3" fontId="4" fillId="0" borderId="5" xfId="2" applyNumberFormat="1" applyFont="1" applyFill="1" applyBorder="1" applyAlignment="1">
      <alignment horizontal="right" vertical="center"/>
    </xf>
    <xf numFmtId="3" fontId="4" fillId="0" borderId="5" xfId="3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/>
    <xf numFmtId="0" fontId="12" fillId="0" borderId="0" xfId="0" applyFont="1" applyFill="1"/>
    <xf numFmtId="0" fontId="0" fillId="0" borderId="0" xfId="0" applyFill="1"/>
    <xf numFmtId="0" fontId="18" fillId="0" borderId="0" xfId="0" applyFont="1" applyFill="1"/>
    <xf numFmtId="164" fontId="4" fillId="0" borderId="0" xfId="0" applyNumberFormat="1" applyFont="1" applyFill="1" applyAlignment="1">
      <alignment vertical="center"/>
    </xf>
    <xf numFmtId="3" fontId="19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4" fillId="0" borderId="6" xfId="0" applyNumberFormat="1" applyFont="1" applyFill="1" applyBorder="1" applyAlignment="1">
      <alignment vertical="center"/>
    </xf>
    <xf numFmtId="3" fontId="4" fillId="0" borderId="2" xfId="0" applyNumberFormat="1" applyFont="1" applyFill="1" applyBorder="1" applyAlignment="1">
      <alignment horizontal="right" vertical="center"/>
    </xf>
    <xf numFmtId="3" fontId="4" fillId="0" borderId="2" xfId="0" applyNumberFormat="1" applyFont="1" applyFill="1" applyBorder="1" applyAlignment="1">
      <alignment vertical="center"/>
    </xf>
    <xf numFmtId="3" fontId="4" fillId="2" borderId="2" xfId="0" applyNumberFormat="1" applyFont="1" applyFill="1" applyBorder="1" applyAlignment="1">
      <alignment vertical="center"/>
    </xf>
    <xf numFmtId="164" fontId="5" fillId="0" borderId="2" xfId="1" applyNumberFormat="1" applyFont="1" applyFill="1" applyBorder="1" applyAlignment="1">
      <alignment horizontal="right" vertical="center" wrapText="1"/>
    </xf>
    <xf numFmtId="3" fontId="4" fillId="2" borderId="2" xfId="0" applyNumberFormat="1" applyFont="1" applyFill="1" applyBorder="1" applyAlignment="1">
      <alignment horizontal="right" vertical="center"/>
    </xf>
    <xf numFmtId="3" fontId="4" fillId="0" borderId="2" xfId="2" applyNumberFormat="1" applyFont="1" applyFill="1" applyBorder="1" applyAlignment="1">
      <alignment horizontal="right" vertical="center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right" vertical="center"/>
    </xf>
    <xf numFmtId="3" fontId="4" fillId="0" borderId="10" xfId="0" applyNumberFormat="1" applyFont="1" applyFill="1" applyBorder="1" applyAlignment="1">
      <alignment horizontal="right" vertical="center"/>
    </xf>
    <xf numFmtId="164" fontId="5" fillId="0" borderId="9" xfId="1" applyNumberFormat="1" applyFont="1" applyFill="1" applyBorder="1" applyAlignment="1">
      <alignment horizontal="right" vertical="center" wrapText="1"/>
    </xf>
    <xf numFmtId="164" fontId="5" fillId="0" borderId="10" xfId="1" applyNumberFormat="1" applyFont="1" applyFill="1" applyBorder="1" applyAlignment="1">
      <alignment horizontal="right" vertical="center" wrapText="1"/>
    </xf>
    <xf numFmtId="0" fontId="1" fillId="4" borderId="11" xfId="0" applyFont="1" applyFill="1" applyBorder="1" applyAlignment="1">
      <alignment horizontal="center" vertical="center" wrapText="1"/>
    </xf>
    <xf numFmtId="3" fontId="4" fillId="0" borderId="12" xfId="0" applyNumberFormat="1" applyFont="1" applyFill="1" applyBorder="1" applyAlignment="1">
      <alignment horizontal="right" vertical="center"/>
    </xf>
    <xf numFmtId="3" fontId="4" fillId="0" borderId="12" xfId="0" applyNumberFormat="1" applyFont="1" applyFill="1" applyBorder="1" applyAlignment="1">
      <alignment vertical="center"/>
    </xf>
    <xf numFmtId="164" fontId="5" fillId="0" borderId="12" xfId="1" applyNumberFormat="1" applyFont="1" applyFill="1" applyBorder="1" applyAlignment="1">
      <alignment horizontal="right" vertical="center" wrapText="1"/>
    </xf>
    <xf numFmtId="3" fontId="4" fillId="0" borderId="12" xfId="2" applyNumberFormat="1" applyFont="1" applyFill="1" applyBorder="1" applyAlignment="1">
      <alignment horizontal="right" vertical="center"/>
    </xf>
    <xf numFmtId="0" fontId="2" fillId="4" borderId="1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8" fillId="0" borderId="0" xfId="0" applyFont="1" applyFill="1" applyBorder="1"/>
    <xf numFmtId="164" fontId="0" fillId="0" borderId="0" xfId="0" applyNumberFormat="1"/>
    <xf numFmtId="164" fontId="21" fillId="0" borderId="0" xfId="0" applyNumberFormat="1" applyFont="1"/>
    <xf numFmtId="0" fontId="15" fillId="0" borderId="0" xfId="0" applyFont="1" applyFill="1" applyBorder="1" applyAlignment="1">
      <alignment horizontal="right" vertical="center" wrapText="1"/>
    </xf>
    <xf numFmtId="0" fontId="0" fillId="0" borderId="0" xfId="0" applyBorder="1"/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2" fillId="0" borderId="0" xfId="0" applyFont="1" applyFill="1" applyBorder="1"/>
    <xf numFmtId="0" fontId="0" fillId="0" borderId="0" xfId="0" applyFill="1" applyBorder="1"/>
    <xf numFmtId="3" fontId="19" fillId="0" borderId="0" xfId="0" applyNumberFormat="1" applyFont="1" applyFill="1" applyBorder="1" applyAlignment="1">
      <alignment horizontal="right" vertical="center"/>
    </xf>
    <xf numFmtId="0" fontId="22" fillId="0" borderId="5" xfId="0" applyFont="1" applyBorder="1" applyAlignment="1">
      <alignment horizontal="right" vertical="center" wrapText="1"/>
    </xf>
    <xf numFmtId="0" fontId="22" fillId="0" borderId="0" xfId="0" applyFont="1" applyBorder="1" applyAlignment="1">
      <alignment horizontal="right" vertical="center" wrapText="1"/>
    </xf>
    <xf numFmtId="0" fontId="22" fillId="0" borderId="19" xfId="0" applyFont="1" applyBorder="1" applyAlignment="1">
      <alignment horizontal="right" vertical="center" wrapText="1"/>
    </xf>
    <xf numFmtId="3" fontId="4" fillId="0" borderId="20" xfId="0" applyNumberFormat="1" applyFont="1" applyFill="1" applyBorder="1" applyAlignment="1">
      <alignment vertical="center"/>
    </xf>
    <xf numFmtId="0" fontId="1" fillId="0" borderId="23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164" fontId="5" fillId="0" borderId="27" xfId="1" applyNumberFormat="1" applyFont="1" applyFill="1" applyBorder="1" applyAlignment="1">
      <alignment horizontal="right" vertical="center" wrapText="1"/>
    </xf>
    <xf numFmtId="164" fontId="5" fillId="0" borderId="28" xfId="1" applyNumberFormat="1" applyFont="1" applyFill="1" applyBorder="1" applyAlignment="1">
      <alignment horizontal="right" vertical="center" wrapText="1"/>
    </xf>
    <xf numFmtId="164" fontId="5" fillId="0" borderId="29" xfId="1" applyNumberFormat="1" applyFont="1" applyFill="1" applyBorder="1" applyAlignment="1">
      <alignment horizontal="right" vertical="center" wrapText="1"/>
    </xf>
    <xf numFmtId="164" fontId="5" fillId="0" borderId="30" xfId="1" applyNumberFormat="1" applyFont="1" applyFill="1" applyBorder="1" applyAlignment="1">
      <alignment horizontal="right" vertical="center" wrapText="1"/>
    </xf>
    <xf numFmtId="0" fontId="1" fillId="0" borderId="32" xfId="0" applyFont="1" applyFill="1" applyBorder="1" applyAlignment="1">
      <alignment horizontal="center" vertical="center"/>
    </xf>
    <xf numFmtId="0" fontId="1" fillId="0" borderId="33" xfId="0" applyFont="1" applyFill="1" applyBorder="1" applyAlignment="1">
      <alignment horizontal="center" vertical="center"/>
    </xf>
    <xf numFmtId="0" fontId="1" fillId="0" borderId="3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vertical="center" wrapText="1"/>
    </xf>
    <xf numFmtId="0" fontId="1" fillId="5" borderId="23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24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32" xfId="0" applyFont="1" applyFill="1" applyBorder="1" applyAlignment="1">
      <alignment horizontal="center" vertical="center"/>
    </xf>
    <xf numFmtId="0" fontId="1" fillId="5" borderId="33" xfId="0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right" vertical="center" wrapText="1"/>
    </xf>
    <xf numFmtId="164" fontId="5" fillId="5" borderId="9" xfId="1" applyNumberFormat="1" applyFont="1" applyFill="1" applyBorder="1" applyAlignment="1">
      <alignment horizontal="right" vertical="center" wrapText="1"/>
    </xf>
    <xf numFmtId="164" fontId="5" fillId="5" borderId="6" xfId="1" applyNumberFormat="1" applyFont="1" applyFill="1" applyBorder="1" applyAlignment="1">
      <alignment horizontal="right" vertical="center" wrapText="1"/>
    </xf>
    <xf numFmtId="164" fontId="5" fillId="5" borderId="10" xfId="1" applyNumberFormat="1" applyFont="1" applyFill="1" applyBorder="1" applyAlignment="1">
      <alignment horizontal="right" vertical="center" wrapText="1"/>
    </xf>
    <xf numFmtId="164" fontId="5" fillId="5" borderId="2" xfId="1" applyNumberFormat="1" applyFont="1" applyFill="1" applyBorder="1" applyAlignment="1">
      <alignment horizontal="right" vertical="center" wrapText="1"/>
    </xf>
    <xf numFmtId="164" fontId="5" fillId="5" borderId="12" xfId="1" applyNumberFormat="1" applyFont="1" applyFill="1" applyBorder="1" applyAlignment="1">
      <alignment horizontal="right" vertical="center" wrapText="1"/>
    </xf>
    <xf numFmtId="164" fontId="5" fillId="5" borderId="5" xfId="1" applyNumberFormat="1" applyFont="1" applyFill="1" applyBorder="1" applyAlignment="1">
      <alignment horizontal="right" vertical="center" wrapText="1"/>
    </xf>
    <xf numFmtId="164" fontId="5" fillId="5" borderId="27" xfId="1" applyNumberFormat="1" applyFont="1" applyFill="1" applyBorder="1" applyAlignment="1">
      <alignment horizontal="right" vertical="center" wrapText="1"/>
    </xf>
    <xf numFmtId="164" fontId="5" fillId="5" borderId="28" xfId="1" applyNumberFormat="1" applyFont="1" applyFill="1" applyBorder="1" applyAlignment="1">
      <alignment horizontal="right" vertical="center" wrapText="1"/>
    </xf>
    <xf numFmtId="164" fontId="5" fillId="5" borderId="29" xfId="1" applyNumberFormat="1" applyFont="1" applyFill="1" applyBorder="1" applyAlignment="1">
      <alignment horizontal="right" vertical="center" wrapText="1"/>
    </xf>
    <xf numFmtId="164" fontId="5" fillId="5" borderId="30" xfId="1" applyNumberFormat="1" applyFont="1" applyFill="1" applyBorder="1" applyAlignment="1">
      <alignment horizontal="right" vertical="center" wrapText="1"/>
    </xf>
    <xf numFmtId="0" fontId="13" fillId="0" borderId="29" xfId="0" applyFont="1" applyFill="1" applyBorder="1" applyAlignment="1">
      <alignment horizontal="right" vertical="center" wrapText="1"/>
    </xf>
    <xf numFmtId="0" fontId="1" fillId="5" borderId="6" xfId="0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right" vertical="center" wrapText="1"/>
    </xf>
    <xf numFmtId="0" fontId="1" fillId="5" borderId="22" xfId="0" applyFont="1" applyFill="1" applyBorder="1" applyAlignment="1">
      <alignment horizontal="center" vertical="center"/>
    </xf>
    <xf numFmtId="0" fontId="1" fillId="5" borderId="0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3" fontId="4" fillId="5" borderId="12" xfId="0" applyNumberFormat="1" applyFont="1" applyFill="1" applyBorder="1" applyAlignment="1">
      <alignment vertical="center"/>
    </xf>
    <xf numFmtId="0" fontId="1" fillId="5" borderId="42" xfId="0" applyFont="1" applyFill="1" applyBorder="1" applyAlignment="1">
      <alignment horizontal="right" vertical="center" wrapText="1"/>
    </xf>
    <xf numFmtId="164" fontId="5" fillId="5" borderId="7" xfId="1" applyNumberFormat="1" applyFont="1" applyFill="1" applyBorder="1" applyAlignment="1">
      <alignment horizontal="right" vertical="center" wrapText="1"/>
    </xf>
    <xf numFmtId="164" fontId="5" fillId="5" borderId="42" xfId="1" applyNumberFormat="1" applyFont="1" applyFill="1" applyBorder="1" applyAlignment="1">
      <alignment horizontal="right" vertical="center" wrapText="1"/>
    </xf>
    <xf numFmtId="164" fontId="5" fillId="5" borderId="13" xfId="1" applyNumberFormat="1" applyFont="1" applyFill="1" applyBorder="1" applyAlignment="1">
      <alignment horizontal="right" vertical="center" wrapText="1"/>
    </xf>
    <xf numFmtId="164" fontId="5" fillId="5" borderId="43" xfId="1" applyNumberFormat="1" applyFont="1" applyFill="1" applyBorder="1" applyAlignment="1">
      <alignment horizontal="right" vertical="center" wrapText="1"/>
    </xf>
    <xf numFmtId="164" fontId="5" fillId="5" borderId="11" xfId="1" applyNumberFormat="1" applyFont="1" applyFill="1" applyBorder="1" applyAlignment="1">
      <alignment horizontal="right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44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right" vertical="center" wrapText="1"/>
    </xf>
    <xf numFmtId="164" fontId="5" fillId="5" borderId="44" xfId="1" applyNumberFormat="1" applyFont="1" applyFill="1" applyBorder="1" applyAlignment="1">
      <alignment horizontal="right" vertical="center" wrapText="1"/>
    </xf>
    <xf numFmtId="164" fontId="5" fillId="5" borderId="45" xfId="1" applyNumberFormat="1" applyFont="1" applyFill="1" applyBorder="1" applyAlignment="1">
      <alignment horizontal="right" vertical="center" wrapText="1"/>
    </xf>
    <xf numFmtId="164" fontId="5" fillId="5" borderId="46" xfId="1" applyNumberFormat="1" applyFont="1" applyFill="1" applyBorder="1" applyAlignment="1">
      <alignment horizontal="right" vertical="center" wrapText="1"/>
    </xf>
    <xf numFmtId="164" fontId="5" fillId="5" borderId="47" xfId="1" applyNumberFormat="1" applyFont="1" applyFill="1" applyBorder="1" applyAlignment="1">
      <alignment horizontal="right" vertical="center" wrapText="1"/>
    </xf>
    <xf numFmtId="164" fontId="5" fillId="5" borderId="48" xfId="1" applyNumberFormat="1" applyFont="1" applyFill="1" applyBorder="1" applyAlignment="1">
      <alignment horizontal="right" vertical="center" wrapText="1"/>
    </xf>
    <xf numFmtId="164" fontId="5" fillId="5" borderId="49" xfId="1" applyNumberFormat="1" applyFont="1" applyFill="1" applyBorder="1" applyAlignment="1">
      <alignment horizontal="right" vertical="center" wrapText="1"/>
    </xf>
    <xf numFmtId="0" fontId="1" fillId="5" borderId="55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right" vertical="center" wrapText="1"/>
    </xf>
    <xf numFmtId="0" fontId="7" fillId="5" borderId="56" xfId="0" applyFont="1" applyFill="1" applyBorder="1" applyAlignment="1">
      <alignment horizontal="center" vertical="center"/>
    </xf>
    <xf numFmtId="0" fontId="1" fillId="5" borderId="56" xfId="0" applyFont="1" applyFill="1" applyBorder="1" applyAlignment="1">
      <alignment horizontal="center" vertical="center" wrapText="1"/>
    </xf>
    <xf numFmtId="0" fontId="3" fillId="5" borderId="56" xfId="0" applyFont="1" applyFill="1" applyBorder="1" applyAlignment="1">
      <alignment horizontal="center" vertical="center"/>
    </xf>
    <xf numFmtId="0" fontId="1" fillId="5" borderId="57" xfId="0" applyFont="1" applyFill="1" applyBorder="1" applyAlignment="1">
      <alignment horizontal="center" vertical="center" wrapText="1"/>
    </xf>
    <xf numFmtId="0" fontId="13" fillId="5" borderId="48" xfId="0" applyFont="1" applyFill="1" applyBorder="1" applyAlignment="1">
      <alignment horizontal="right" vertical="center" wrapText="1"/>
    </xf>
    <xf numFmtId="0" fontId="13" fillId="5" borderId="29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right" vertical="center" wrapText="1"/>
    </xf>
    <xf numFmtId="3" fontId="4" fillId="5" borderId="2" xfId="0" applyNumberFormat="1" applyFont="1" applyFill="1" applyBorder="1" applyAlignment="1">
      <alignment horizontal="right" vertical="center"/>
    </xf>
    <xf numFmtId="3" fontId="4" fillId="5" borderId="6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5" borderId="10" xfId="0" applyNumberFormat="1" applyFont="1" applyFill="1" applyBorder="1" applyAlignment="1">
      <alignment horizontal="right" vertical="center"/>
    </xf>
    <xf numFmtId="3" fontId="4" fillId="5" borderId="5" xfId="0" applyNumberFormat="1" applyFont="1" applyFill="1" applyBorder="1" applyAlignment="1">
      <alignment horizontal="right" vertical="center"/>
    </xf>
    <xf numFmtId="3" fontId="4" fillId="5" borderId="12" xfId="0" applyNumberFormat="1" applyFont="1" applyFill="1" applyBorder="1" applyAlignment="1">
      <alignment horizontal="right" vertical="center"/>
    </xf>
    <xf numFmtId="0" fontId="15" fillId="5" borderId="5" xfId="0" applyFont="1" applyFill="1" applyBorder="1" applyAlignment="1">
      <alignment horizontal="right" vertical="center" wrapText="1"/>
    </xf>
    <xf numFmtId="3" fontId="4" fillId="5" borderId="2" xfId="0" applyNumberFormat="1" applyFont="1" applyFill="1" applyBorder="1" applyAlignment="1">
      <alignment vertical="center"/>
    </xf>
    <xf numFmtId="3" fontId="4" fillId="5" borderId="6" xfId="0" applyNumberFormat="1" applyFont="1" applyFill="1" applyBorder="1" applyAlignment="1">
      <alignment vertical="center"/>
    </xf>
    <xf numFmtId="3" fontId="4" fillId="5" borderId="9" xfId="0" applyNumberFormat="1" applyFont="1" applyFill="1" applyBorder="1" applyAlignment="1">
      <alignment vertical="center"/>
    </xf>
    <xf numFmtId="3" fontId="4" fillId="5" borderId="10" xfId="0" applyNumberFormat="1" applyFont="1" applyFill="1" applyBorder="1" applyAlignment="1">
      <alignment vertical="center"/>
    </xf>
    <xf numFmtId="3" fontId="4" fillId="5" borderId="5" xfId="0" applyNumberFormat="1" applyFont="1" applyFill="1" applyBorder="1" applyAlignment="1">
      <alignment vertical="center"/>
    </xf>
    <xf numFmtId="3" fontId="20" fillId="5" borderId="5" xfId="0" applyNumberFormat="1" applyFont="1" applyFill="1" applyBorder="1" applyAlignment="1">
      <alignment vertical="center"/>
    </xf>
    <xf numFmtId="3" fontId="20" fillId="5" borderId="6" xfId="0" applyNumberFormat="1" applyFont="1" applyFill="1" applyBorder="1" applyAlignment="1">
      <alignment vertical="center"/>
    </xf>
    <xf numFmtId="0" fontId="22" fillId="5" borderId="5" xfId="0" applyFont="1" applyFill="1" applyBorder="1" applyAlignment="1">
      <alignment horizontal="right" vertical="center" wrapText="1"/>
    </xf>
    <xf numFmtId="3" fontId="4" fillId="5" borderId="1" xfId="0" applyNumberFormat="1" applyFont="1" applyFill="1" applyBorder="1" applyAlignment="1">
      <alignment vertical="center"/>
    </xf>
    <xf numFmtId="3" fontId="20" fillId="5" borderId="9" xfId="0" applyNumberFormat="1" applyFont="1" applyFill="1" applyBorder="1" applyAlignment="1">
      <alignment horizontal="right" vertical="center"/>
    </xf>
    <xf numFmtId="3" fontId="4" fillId="5" borderId="2" xfId="2" applyNumberFormat="1" applyFont="1" applyFill="1" applyBorder="1" applyAlignment="1">
      <alignment horizontal="right" vertical="center"/>
    </xf>
    <xf numFmtId="3" fontId="4" fillId="5" borderId="6" xfId="2" applyNumberFormat="1" applyFont="1" applyFill="1" applyBorder="1" applyAlignment="1">
      <alignment horizontal="right" vertical="center"/>
    </xf>
    <xf numFmtId="3" fontId="4" fillId="5" borderId="9" xfId="2" applyNumberFormat="1" applyFont="1" applyFill="1" applyBorder="1" applyAlignment="1">
      <alignment horizontal="right" vertical="center"/>
    </xf>
    <xf numFmtId="3" fontId="4" fillId="5" borderId="10" xfId="2" applyNumberFormat="1" applyFont="1" applyFill="1" applyBorder="1" applyAlignment="1">
      <alignment horizontal="right" vertical="center"/>
    </xf>
    <xf numFmtId="3" fontId="4" fillId="5" borderId="2" xfId="3" applyNumberFormat="1" applyFont="1" applyFill="1" applyBorder="1" applyAlignment="1" applyProtection="1">
      <alignment horizontal="right" vertical="center"/>
    </xf>
    <xf numFmtId="3" fontId="4" fillId="5" borderId="6" xfId="3" applyNumberFormat="1" applyFont="1" applyFill="1" applyBorder="1" applyAlignment="1" applyProtection="1">
      <alignment horizontal="right" vertical="center"/>
    </xf>
    <xf numFmtId="3" fontId="4" fillId="5" borderId="9" xfId="3" applyNumberFormat="1" applyFont="1" applyFill="1" applyBorder="1" applyAlignment="1" applyProtection="1">
      <alignment horizontal="right" vertical="center"/>
    </xf>
    <xf numFmtId="3" fontId="4" fillId="5" borderId="10" xfId="3" applyNumberFormat="1" applyFont="1" applyFill="1" applyBorder="1" applyAlignment="1" applyProtection="1">
      <alignment horizontal="right" vertical="center"/>
    </xf>
    <xf numFmtId="3" fontId="4" fillId="5" borderId="5" xfId="2" applyNumberFormat="1" applyFont="1" applyFill="1" applyBorder="1" applyAlignment="1">
      <alignment horizontal="right" vertical="center"/>
    </xf>
    <xf numFmtId="3" fontId="4" fillId="5" borderId="12" xfId="2" applyNumberFormat="1" applyFont="1" applyFill="1" applyBorder="1" applyAlignment="1">
      <alignment horizontal="right" vertical="center"/>
    </xf>
    <xf numFmtId="3" fontId="16" fillId="5" borderId="5" xfId="0" applyNumberFormat="1" applyFont="1" applyFill="1" applyBorder="1" applyAlignment="1">
      <alignment horizontal="right" vertical="center" wrapText="1"/>
    </xf>
    <xf numFmtId="0" fontId="13" fillId="5" borderId="3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 wrapText="1"/>
    </xf>
    <xf numFmtId="0" fontId="13" fillId="5" borderId="31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 wrapText="1"/>
    </xf>
    <xf numFmtId="0" fontId="13" fillId="5" borderId="37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38" xfId="0" applyFont="1" applyFill="1" applyBorder="1" applyAlignment="1">
      <alignment horizontal="center" vertical="center" wrapText="1"/>
    </xf>
    <xf numFmtId="0" fontId="13" fillId="5" borderId="39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 wrapText="1"/>
    </xf>
    <xf numFmtId="0" fontId="13" fillId="5" borderId="40" xfId="0" applyFont="1" applyFill="1" applyBorder="1" applyAlignment="1">
      <alignment horizontal="center" vertical="center"/>
    </xf>
    <xf numFmtId="0" fontId="13" fillId="5" borderId="41" xfId="0" applyFont="1" applyFill="1" applyBorder="1" applyAlignment="1">
      <alignment horizontal="center" vertical="center"/>
    </xf>
    <xf numFmtId="0" fontId="13" fillId="5" borderId="41" xfId="0" applyFont="1" applyFill="1" applyBorder="1" applyAlignment="1">
      <alignment horizontal="center" vertical="center" wrapText="1"/>
    </xf>
    <xf numFmtId="0" fontId="13" fillId="5" borderId="50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50" xfId="0" applyFont="1" applyFill="1" applyBorder="1" applyAlignment="1">
      <alignment horizontal="center" vertical="center" wrapText="1"/>
    </xf>
    <xf numFmtId="0" fontId="13" fillId="5" borderId="51" xfId="0" applyFont="1" applyFill="1" applyBorder="1" applyAlignment="1">
      <alignment horizontal="center" vertical="center" wrapText="1"/>
    </xf>
    <xf numFmtId="0" fontId="13" fillId="5" borderId="52" xfId="0" applyFont="1" applyFill="1" applyBorder="1" applyAlignment="1">
      <alignment horizontal="center" vertical="center" wrapText="1"/>
    </xf>
    <xf numFmtId="0" fontId="13" fillId="5" borderId="53" xfId="0" applyFont="1" applyFill="1" applyBorder="1" applyAlignment="1">
      <alignment horizontal="center" vertical="center" wrapText="1"/>
    </xf>
    <xf numFmtId="0" fontId="13" fillId="5" borderId="54" xfId="0" applyFont="1" applyFill="1" applyBorder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5" borderId="54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3" fillId="5" borderId="56" xfId="0" applyFont="1" applyFill="1" applyBorder="1" applyAlignment="1">
      <alignment horizontal="right" vertical="center"/>
    </xf>
    <xf numFmtId="0" fontId="13" fillId="5" borderId="32" xfId="0" applyFont="1" applyFill="1" applyBorder="1" applyAlignment="1">
      <alignment horizontal="center" vertical="center"/>
    </xf>
    <xf numFmtId="0" fontId="13" fillId="5" borderId="34" xfId="0" applyFont="1" applyFill="1" applyBorder="1" applyAlignment="1">
      <alignment horizontal="center" vertical="center" wrapText="1"/>
    </xf>
    <xf numFmtId="0" fontId="13" fillId="5" borderId="58" xfId="0" applyFont="1" applyFill="1" applyBorder="1" applyAlignment="1">
      <alignment horizontal="center" vertical="center" wrapText="1"/>
    </xf>
    <xf numFmtId="0" fontId="3" fillId="5" borderId="55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right" vertical="center" wrapText="1"/>
    </xf>
    <xf numFmtId="3" fontId="4" fillId="5" borderId="43" xfId="0" applyNumberFormat="1" applyFont="1" applyFill="1" applyBorder="1" applyAlignment="1">
      <alignment horizontal="right" vertical="center"/>
    </xf>
    <xf numFmtId="3" fontId="4" fillId="5" borderId="42" xfId="0" applyNumberFormat="1" applyFont="1" applyFill="1" applyBorder="1" applyAlignment="1">
      <alignment horizontal="right" vertical="center"/>
    </xf>
    <xf numFmtId="3" fontId="4" fillId="5" borderId="7" xfId="0" applyNumberFormat="1" applyFont="1" applyFill="1" applyBorder="1" applyAlignment="1">
      <alignment horizontal="right" vertical="center"/>
    </xf>
    <xf numFmtId="3" fontId="4" fillId="5" borderId="13" xfId="0" applyNumberFormat="1" applyFont="1" applyFill="1" applyBorder="1" applyAlignment="1">
      <alignment horizontal="right" vertical="center"/>
    </xf>
    <xf numFmtId="3" fontId="4" fillId="5" borderId="8" xfId="0" applyNumberFormat="1" applyFont="1" applyFill="1" applyBorder="1" applyAlignment="1">
      <alignment horizontal="right" vertical="center"/>
    </xf>
    <xf numFmtId="3" fontId="4" fillId="5" borderId="11" xfId="0" applyNumberFormat="1" applyFont="1" applyFill="1" applyBorder="1" applyAlignment="1">
      <alignment horizontal="right" vertical="center"/>
    </xf>
  </cellXfs>
  <cellStyles count="4">
    <cellStyle name="Comma" xfId="1" builtinId="3"/>
    <cellStyle name="Currency" xfId="2" builtinId="4"/>
    <cellStyle name="Normal" xfId="0" builtinId="0"/>
    <cellStyle name="היפר-קישור" xfId="3" builtinId="8"/>
  </cellStyles>
  <dxfs count="116"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2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Times New Roman"/>
        <scheme val="none"/>
      </font>
      <numFmt numFmtId="164" formatCode="_ * #,##0_ ;_ * \-#,##0_ ;_ * &quot;-&quot;??_ ;_ @_ "/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20"/>
        <color auto="1"/>
        <name val="Arial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id="3" name="טבלה3" displayName="טבלה3" ref="E1:AN13" totalsRowShown="0" headerRowDxfId="78" dataDxfId="77" tableBorderDxfId="115" dataCellStyle="Comma">
  <autoFilter ref="E1:AN13"/>
  <tableColumns count="36">
    <tableColumn id="1" name="עמודה25" dataDxfId="114"/>
    <tableColumn id="2" name="עמודה1" dataDxfId="113"/>
    <tableColumn id="3" name="תקציב 2014" dataDxfId="112" dataCellStyle="Comma"/>
    <tableColumn id="4" name="עמודה2" dataDxfId="111" dataCellStyle="Comma"/>
    <tableColumn id="5" name="תקציב 2015" dataDxfId="110" dataCellStyle="Comma"/>
    <tableColumn id="6" name="עמודה3" dataDxfId="109" dataCellStyle="Comma"/>
    <tableColumn id="7" name="תקציב 2016" dataDxfId="108" dataCellStyle="Comma"/>
    <tableColumn id="8" name="עמודה4" dataDxfId="107" dataCellStyle="Comma"/>
    <tableColumn id="9" name="תקציב 2017" dataDxfId="106" dataCellStyle="Comma"/>
    <tableColumn id="10" name="עמודה5" dataDxfId="105" dataCellStyle="Comma"/>
    <tableColumn id="11" name="תקציב 2018" dataDxfId="104" dataCellStyle="Comma"/>
    <tableColumn id="12" name="עמודה6" dataDxfId="103" dataCellStyle="Comma"/>
    <tableColumn id="13" name="עמודה7" dataDxfId="102" dataCellStyle="Comma"/>
    <tableColumn id="14" name="עמודה8" dataDxfId="101" dataCellStyle="Comma"/>
    <tableColumn id="15" name="יתרה מועברת ל- 2019" dataDxfId="100" dataCellStyle="Comma"/>
    <tableColumn id="16" name="עמודה9" dataDxfId="99" dataCellStyle="Comma"/>
    <tableColumn id="17" name="עמודה10" dataDxfId="98" dataCellStyle="Comma"/>
    <tableColumn id="18" name="תקציב פיתוח הצעת היחידות" dataDxfId="97" dataCellStyle="Comma"/>
    <tableColumn id="19" name="תקציב פיתוח 2019" dataDxfId="96" dataCellStyle="Comma"/>
    <tableColumn id="20" name="עמודה11" dataDxfId="95" dataCellStyle="Comma"/>
    <tableColumn id="21" name="עמודה12" dataDxfId="94" dataCellStyle="Comma"/>
    <tableColumn id="22" name="עמודה13" dataDxfId="93" dataCellStyle="Comma"/>
    <tableColumn id="23" name="עמודה14" dataDxfId="92" dataCellStyle="Comma"/>
    <tableColumn id="24" name="עמודה15" dataDxfId="91" dataCellStyle="Comma"/>
    <tableColumn id="25" name="רב שנתי" dataDxfId="90" dataCellStyle="Comma"/>
    <tableColumn id="26" name="עמודה16" dataDxfId="89" dataCellStyle="Comma"/>
    <tableColumn id="27" name="עמודה17" dataDxfId="88" dataCellStyle="Comma"/>
    <tableColumn id="28" name="עמודה18" dataDxfId="87" dataCellStyle="Comma"/>
    <tableColumn id="29" name="עמודה19" dataDxfId="86" dataCellStyle="Comma"/>
    <tableColumn id="30" name="עמודה20" dataDxfId="85" dataCellStyle="Comma"/>
    <tableColumn id="31" name="מימון תקציב פיתוח 2019 הצעת היחידות" dataDxfId="84" dataCellStyle="Comma"/>
    <tableColumn id="32" name="עמודה21" dataDxfId="83" dataCellStyle="Comma"/>
    <tableColumn id="33" name="עמודה22" dataDxfId="82" dataCellStyle="Comma"/>
    <tableColumn id="34" name="עמודה23" dataDxfId="81" dataCellStyle="Comma"/>
    <tableColumn id="35" name="עמודה24" dataDxfId="80" dataCellStyle="Comma"/>
    <tableColumn id="36" name="מימון עירוני" dataDxfId="79" dataCellStyle="Comm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4" name="טבלה4" displayName="טבלה4" ref="E1:AN50" totalsRowShown="0" headerRowDxfId="39" dataDxfId="38" tableBorderDxfId="76" dataCellStyle="Comma">
  <autoFilter ref="E1:AN50"/>
  <tableColumns count="36">
    <tableColumn id="1" name="העבודה" dataDxfId="75"/>
    <tableColumn id="2" name="עמודה1" dataDxfId="74"/>
    <tableColumn id="3" name="תקציב 2014" dataDxfId="73" dataCellStyle="Comma"/>
    <tableColumn id="4" name="עמודה2" dataDxfId="72" dataCellStyle="Comma"/>
    <tableColumn id="5" name="תקציב 2015" dataDxfId="71" dataCellStyle="Comma"/>
    <tableColumn id="6" name="עמודה3" dataDxfId="70" dataCellStyle="Comma"/>
    <tableColumn id="7" name="תקציב 2016" dataDxfId="69" dataCellStyle="Comma"/>
    <tableColumn id="8" name="עמודה4" dataDxfId="68" dataCellStyle="Comma"/>
    <tableColumn id="9" name="תקציב 2017" dataDxfId="67" dataCellStyle="Comma"/>
    <tableColumn id="10" name="עמודה5" dataDxfId="66" dataCellStyle="Comma"/>
    <tableColumn id="11" name="תקציב 2018" dataDxfId="65" dataCellStyle="Comma"/>
    <tableColumn id="12" name="עמודה6" dataDxfId="64" dataCellStyle="Comma"/>
    <tableColumn id="13" name="עמודה7" dataDxfId="63" dataCellStyle="Comma"/>
    <tableColumn id="14" name="עמודה8" dataDxfId="62" dataCellStyle="Comma"/>
    <tableColumn id="15" name="יתרה מועברת ל- 2019" dataDxfId="61" dataCellStyle="Comma"/>
    <tableColumn id="16" name="עמודה9" dataDxfId="60" dataCellStyle="Comma"/>
    <tableColumn id="17" name="עמודה10" dataDxfId="59" dataCellStyle="Comma"/>
    <tableColumn id="18" name="תקציב פיתוח הצעת היחידות" dataDxfId="58" dataCellStyle="Comma"/>
    <tableColumn id="19" name="תקציב פיתוח 2019" dataDxfId="57" dataCellStyle="Comma"/>
    <tableColumn id="20" name="עמודה11" dataDxfId="56" dataCellStyle="Comma"/>
    <tableColumn id="21" name="עמודה12" dataDxfId="55" dataCellStyle="Comma"/>
    <tableColumn id="22" name="עמודה13" dataDxfId="54" dataCellStyle="Comma"/>
    <tableColumn id="23" name="עמודה14" dataDxfId="53" dataCellStyle="Comma"/>
    <tableColumn id="24" name="עמודה15" dataDxfId="52" dataCellStyle="Comma"/>
    <tableColumn id="25" name="רב שנתי" dataDxfId="51" dataCellStyle="Comma"/>
    <tableColumn id="26" name="עמודה16" dataDxfId="50" dataCellStyle="Comma"/>
    <tableColumn id="27" name="עמודה17" dataDxfId="49" dataCellStyle="Comma"/>
    <tableColumn id="28" name="עמודה18" dataDxfId="48" dataCellStyle="Comma"/>
    <tableColumn id="29" name="עמודה19" dataDxfId="47" dataCellStyle="Comma"/>
    <tableColumn id="30" name="עמודה20" dataDxfId="46" dataCellStyle="Comma"/>
    <tableColumn id="31" name="מימון תקציב פיתוח 2019 הצעת היחידות" dataDxfId="45" dataCellStyle="Comma"/>
    <tableColumn id="32" name="עמודה21" dataDxfId="44" dataCellStyle="Comma"/>
    <tableColumn id="33" name="עמודה22" dataDxfId="43" dataCellStyle="Comma"/>
    <tableColumn id="34" name="עמודה23" dataDxfId="42" dataCellStyle="Comma"/>
    <tableColumn id="35" name="עמודה24" dataDxfId="41" dataCellStyle="Comma"/>
    <tableColumn id="36" name="מימון עירוני" dataDxfId="40" dataCellStyle="Comma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5" name="טבלה5" displayName="טבלה5" ref="E1:AN529" totalsRowShown="0" headerRowDxfId="0" dataDxfId="1" tableBorderDxfId="37" dataCellStyle="Comma">
  <autoFilter ref="E1:AN529"/>
  <tableColumns count="36">
    <tableColumn id="1" name="העבודה"/>
    <tableColumn id="2" name="עמודה1" dataDxfId="36"/>
    <tableColumn id="3" name="תקציב 2014" dataDxfId="35" dataCellStyle="Comma"/>
    <tableColumn id="4" name="עמודה2" dataDxfId="34" dataCellStyle="Comma"/>
    <tableColumn id="5" name="תקציב 2015" dataDxfId="33" dataCellStyle="Comma"/>
    <tableColumn id="6" name="עמודה3" dataDxfId="32" dataCellStyle="Comma"/>
    <tableColumn id="7" name="תקציב 2016" dataDxfId="31" dataCellStyle="Comma"/>
    <tableColumn id="8" name="עמודה4" dataDxfId="30" dataCellStyle="Comma"/>
    <tableColumn id="9" name="תקציב 2017" dataDxfId="29" dataCellStyle="Comma"/>
    <tableColumn id="10" name="עמודה5" dataDxfId="28" dataCellStyle="Comma"/>
    <tableColumn id="11" name="תקציב 2018" dataDxfId="27" dataCellStyle="Comma"/>
    <tableColumn id="12" name="עמודה6" dataDxfId="26" dataCellStyle="Comma"/>
    <tableColumn id="13" name="עמודה7" dataDxfId="25" dataCellStyle="Comma"/>
    <tableColumn id="14" name="עמודה8" dataDxfId="24" dataCellStyle="Comma"/>
    <tableColumn id="15" name="יתרה מועברת ל- 2019" dataDxfId="23" dataCellStyle="Comma"/>
    <tableColumn id="16" name="עמודה9" dataDxfId="22" dataCellStyle="Comma"/>
    <tableColumn id="17" name="עמודה10" dataDxfId="21" dataCellStyle="Comma"/>
    <tableColumn id="18" name="תקציב פיתוח הצעת היחידות" dataDxfId="20" dataCellStyle="Comma"/>
    <tableColumn id="19" name=" תקציב פיתוח 2019" dataDxfId="19" dataCellStyle="Comma"/>
    <tableColumn id="20" name="עמודה11" dataDxfId="18" dataCellStyle="Comma"/>
    <tableColumn id="21" name="עמודה12" dataDxfId="17" dataCellStyle="Comma"/>
    <tableColumn id="22" name="עמודה13" dataDxfId="16" dataCellStyle="Comma"/>
    <tableColumn id="23" name="עמודה14" dataDxfId="15" dataCellStyle="Comma"/>
    <tableColumn id="24" name="עמודה15" dataDxfId="14" dataCellStyle="Comma"/>
    <tableColumn id="25" name="רב שנתי" dataDxfId="13" dataCellStyle="Comma"/>
    <tableColumn id="26" name="עמודה16" dataDxfId="12" dataCellStyle="Comma"/>
    <tableColumn id="27" name="עמודה17" dataDxfId="11" dataCellStyle="Comma"/>
    <tableColumn id="28" name="עמודה18" dataDxfId="10" dataCellStyle="Comma"/>
    <tableColumn id="29" name="עמודה19" dataDxfId="9" dataCellStyle="Comma"/>
    <tableColumn id="30" name="עמודה20" dataDxfId="8" dataCellStyle="Comma"/>
    <tableColumn id="31" name="מימון תקציב פיתוח 2019 הצעת היחידות" dataDxfId="7" dataCellStyle="Comma"/>
    <tableColumn id="32" name="עמודה21" dataDxfId="6" dataCellStyle="Comma"/>
    <tableColumn id="33" name="עמודה22" dataDxfId="5" dataCellStyle="Comma"/>
    <tableColumn id="34" name="עמודה23" dataDxfId="4" dataCellStyle="Comma"/>
    <tableColumn id="35" name="עמודה24" dataDxfId="3" dataCellStyle="Comma"/>
    <tableColumn id="36" name="מימון עירוני" dataDxfId="2" dataCellStyle="Comm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BE352"/>
  <sheetViews>
    <sheetView rightToLeft="1" topLeftCell="E1" zoomScale="50" zoomScaleNormal="50" workbookViewId="0">
      <pane xSplit="2" ySplit="3" topLeftCell="G4" activePane="bottomRight" state="frozen"/>
      <selection activeCell="E1" sqref="E1"/>
      <selection pane="topRight" activeCell="H1" sqref="H1"/>
      <selection pane="bottomLeft" activeCell="E9" sqref="E9"/>
      <selection pane="bottomRight" activeCell="F17" sqref="F17"/>
    </sheetView>
  </sheetViews>
  <sheetFormatPr defaultRowHeight="14.25" x14ac:dyDescent="0.2"/>
  <cols>
    <col min="3" max="3" width="2" bestFit="1" customWidth="1"/>
    <col min="5" max="5" width="21.875" bestFit="1" customWidth="1"/>
    <col min="6" max="6" width="52.875" style="34" customWidth="1"/>
    <col min="7" max="7" width="20.875" style="28" hidden="1" customWidth="1"/>
    <col min="8" max="8" width="23.375" style="28" hidden="1" customWidth="1"/>
    <col min="9" max="9" width="20.875" style="28" hidden="1" customWidth="1"/>
    <col min="10" max="10" width="0.5" style="28" hidden="1" customWidth="1"/>
    <col min="11" max="11" width="24.5" style="28" hidden="1" customWidth="1"/>
    <col min="12" max="12" width="21.25" style="28" hidden="1" customWidth="1"/>
    <col min="13" max="13" width="20.25" style="28" hidden="1" customWidth="1"/>
    <col min="14" max="14" width="23.25" style="28" hidden="1" customWidth="1"/>
    <col min="15" max="15" width="22.75" style="28" hidden="1" customWidth="1"/>
    <col min="16" max="16" width="18" style="28" hidden="1" customWidth="1"/>
    <col min="17" max="17" width="22" style="28" hidden="1" customWidth="1"/>
    <col min="18" max="18" width="25.5" style="28" hidden="1" customWidth="1"/>
    <col min="19" max="19" width="25.5" hidden="1" customWidth="1"/>
    <col min="20" max="20" width="17.5" hidden="1" customWidth="1"/>
    <col min="21" max="21" width="34" hidden="1" customWidth="1"/>
    <col min="22" max="22" width="31.875" hidden="1" customWidth="1"/>
    <col min="23" max="23" width="29" customWidth="1"/>
    <col min="24" max="24" width="20.125" customWidth="1"/>
    <col min="25" max="25" width="22.625" bestFit="1" customWidth="1"/>
    <col min="26" max="26" width="18.875" customWidth="1"/>
    <col min="27" max="27" width="20.625" customWidth="1"/>
    <col min="28" max="28" width="18.625" customWidth="1"/>
    <col min="29" max="29" width="21.375" customWidth="1"/>
    <col min="30" max="30" width="18.375" customWidth="1"/>
    <col min="31" max="31" width="22.625" bestFit="1" customWidth="1"/>
    <col min="32" max="32" width="21.125" customWidth="1"/>
    <col min="33" max="33" width="20.875" customWidth="1"/>
    <col min="34" max="34" width="18.375" customWidth="1"/>
    <col min="35" max="39" width="24.75" hidden="1" customWidth="1"/>
    <col min="40" max="40" width="28.5" hidden="1" customWidth="1"/>
    <col min="41" max="41" width="11.5" hidden="1" customWidth="1"/>
    <col min="42" max="42" width="5" style="27" hidden="1" customWidth="1"/>
    <col min="43" max="43" width="9.5" hidden="1" customWidth="1"/>
    <col min="44" max="44" width="11" hidden="1" customWidth="1"/>
    <col min="45" max="45" width="8.5" hidden="1" customWidth="1"/>
    <col min="46" max="46" width="9.5" hidden="1" customWidth="1"/>
    <col min="47" max="47" width="10.5" hidden="1" customWidth="1"/>
    <col min="48" max="48" width="16.5" hidden="1" customWidth="1"/>
    <col min="49" max="49" width="19" hidden="1" customWidth="1"/>
    <col min="50" max="50" width="17.5" hidden="1" customWidth="1"/>
    <col min="51" max="51" width="6" hidden="1" customWidth="1"/>
    <col min="52" max="52" width="12.5" hidden="1" customWidth="1"/>
    <col min="53" max="53" width="9" hidden="1" customWidth="1"/>
    <col min="54" max="54" width="11.125" hidden="1" customWidth="1"/>
    <col min="55" max="55" width="12.125" hidden="1" customWidth="1"/>
    <col min="56" max="56" width="16.875" hidden="1" customWidth="1"/>
    <col min="57" max="62" width="9" customWidth="1"/>
  </cols>
  <sheetData>
    <row r="1" spans="5:56" ht="52.5" hidden="1" customHeight="1" thickBot="1" x14ac:dyDescent="0.25">
      <c r="E1" s="91" t="s">
        <v>580</v>
      </c>
      <c r="F1" s="92" t="s">
        <v>556</v>
      </c>
      <c r="G1" s="93" t="s">
        <v>275</v>
      </c>
      <c r="H1" s="94" t="s">
        <v>557</v>
      </c>
      <c r="I1" s="93" t="s">
        <v>296</v>
      </c>
      <c r="J1" s="94" t="s">
        <v>558</v>
      </c>
      <c r="K1" s="93" t="s">
        <v>310</v>
      </c>
      <c r="L1" s="94" t="s">
        <v>559</v>
      </c>
      <c r="M1" s="93" t="s">
        <v>339</v>
      </c>
      <c r="N1" s="94" t="s">
        <v>560</v>
      </c>
      <c r="O1" s="93" t="s">
        <v>389</v>
      </c>
      <c r="P1" s="94" t="s">
        <v>561</v>
      </c>
      <c r="Q1" s="93" t="s">
        <v>562</v>
      </c>
      <c r="R1" s="94" t="s">
        <v>563</v>
      </c>
      <c r="S1" s="93" t="s">
        <v>384</v>
      </c>
      <c r="T1" s="95" t="s">
        <v>564</v>
      </c>
      <c r="U1" s="94" t="s">
        <v>565</v>
      </c>
      <c r="V1" s="96" t="s">
        <v>383</v>
      </c>
      <c r="W1" s="97" t="s">
        <v>555</v>
      </c>
      <c r="X1" s="98" t="s">
        <v>566</v>
      </c>
      <c r="Y1" s="98" t="s">
        <v>567</v>
      </c>
      <c r="Z1" s="98" t="s">
        <v>568</v>
      </c>
      <c r="AA1" s="98" t="s">
        <v>569</v>
      </c>
      <c r="AB1" s="99" t="s">
        <v>570</v>
      </c>
      <c r="AC1" s="93" t="s">
        <v>546</v>
      </c>
      <c r="AD1" s="95" t="s">
        <v>571</v>
      </c>
      <c r="AE1" s="95" t="s">
        <v>572</v>
      </c>
      <c r="AF1" s="95" t="s">
        <v>573</v>
      </c>
      <c r="AG1" s="95" t="s">
        <v>574</v>
      </c>
      <c r="AH1" s="94" t="s">
        <v>575</v>
      </c>
      <c r="AI1" s="93" t="s">
        <v>388</v>
      </c>
      <c r="AJ1" s="95" t="s">
        <v>576</v>
      </c>
      <c r="AK1" s="95" t="s">
        <v>577</v>
      </c>
      <c r="AL1" s="95" t="s">
        <v>578</v>
      </c>
      <c r="AM1" s="94" t="s">
        <v>579</v>
      </c>
      <c r="AN1" s="100" t="s">
        <v>5</v>
      </c>
      <c r="AO1" s="1"/>
      <c r="AP1" s="1"/>
      <c r="AQ1" s="1"/>
      <c r="AR1" s="1"/>
      <c r="AS1" s="1"/>
      <c r="AT1" s="1"/>
      <c r="AU1" s="1"/>
      <c r="AV1" s="2"/>
    </row>
    <row r="2" spans="5:56" ht="1.5" customHeight="1" thickBot="1" x14ac:dyDescent="0.25">
      <c r="E2" s="101" t="s">
        <v>1</v>
      </c>
      <c r="F2" s="102" t="s">
        <v>2</v>
      </c>
      <c r="G2" s="103"/>
      <c r="H2" s="104"/>
      <c r="I2" s="103"/>
      <c r="J2" s="105"/>
      <c r="K2" s="103"/>
      <c r="L2" s="105"/>
      <c r="M2" s="103"/>
      <c r="N2" s="105"/>
      <c r="O2" s="103"/>
      <c r="P2" s="105"/>
      <c r="Q2" s="103"/>
      <c r="R2" s="105"/>
      <c r="S2" s="106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8"/>
      <c r="AO2" s="4"/>
      <c r="AP2" s="5"/>
      <c r="AQ2" s="81" t="s">
        <v>3</v>
      </c>
      <c r="AR2" s="82"/>
      <c r="AS2" s="82"/>
      <c r="AT2" s="82"/>
      <c r="AU2" s="82"/>
      <c r="AV2" s="83"/>
    </row>
    <row r="3" spans="5:56" ht="183" customHeight="1" thickBot="1" x14ac:dyDescent="0.25">
      <c r="E3" s="197" t="s">
        <v>581</v>
      </c>
      <c r="F3" s="198" t="s">
        <v>2</v>
      </c>
      <c r="G3" s="199" t="s">
        <v>275</v>
      </c>
      <c r="H3" s="200" t="s">
        <v>295</v>
      </c>
      <c r="I3" s="199" t="s">
        <v>296</v>
      </c>
      <c r="J3" s="201" t="s">
        <v>311</v>
      </c>
      <c r="K3" s="199" t="s">
        <v>310</v>
      </c>
      <c r="L3" s="201" t="s">
        <v>338</v>
      </c>
      <c r="M3" s="199" t="s">
        <v>339</v>
      </c>
      <c r="N3" s="201" t="s">
        <v>340</v>
      </c>
      <c r="O3" s="199" t="s">
        <v>532</v>
      </c>
      <c r="P3" s="201" t="s">
        <v>533</v>
      </c>
      <c r="Q3" s="199" t="s">
        <v>415</v>
      </c>
      <c r="R3" s="201" t="s">
        <v>414</v>
      </c>
      <c r="S3" s="202" t="s">
        <v>385</v>
      </c>
      <c r="T3" s="203" t="s">
        <v>4</v>
      </c>
      <c r="U3" s="200" t="s">
        <v>386</v>
      </c>
      <c r="V3" s="204" t="s">
        <v>387</v>
      </c>
      <c r="W3" s="199" t="s">
        <v>555</v>
      </c>
      <c r="X3" s="203" t="s">
        <v>4</v>
      </c>
      <c r="Y3" s="205" t="s">
        <v>6</v>
      </c>
      <c r="Z3" s="205" t="s">
        <v>7</v>
      </c>
      <c r="AA3" s="205" t="s">
        <v>8</v>
      </c>
      <c r="AB3" s="201" t="s">
        <v>9</v>
      </c>
      <c r="AC3" s="199" t="s">
        <v>546</v>
      </c>
      <c r="AD3" s="203" t="s">
        <v>4</v>
      </c>
      <c r="AE3" s="205" t="s">
        <v>6</v>
      </c>
      <c r="AF3" s="205" t="s">
        <v>7</v>
      </c>
      <c r="AG3" s="205" t="s">
        <v>8</v>
      </c>
      <c r="AH3" s="201" t="s">
        <v>9</v>
      </c>
      <c r="AI3" s="110" t="s">
        <v>4</v>
      </c>
      <c r="AJ3" s="111" t="s">
        <v>6</v>
      </c>
      <c r="AK3" s="112" t="s">
        <v>7</v>
      </c>
      <c r="AL3" s="112" t="s">
        <v>8</v>
      </c>
      <c r="AM3" s="113" t="s">
        <v>9</v>
      </c>
      <c r="AN3" s="109" t="s">
        <v>5</v>
      </c>
      <c r="AO3" s="55" t="s">
        <v>10</v>
      </c>
      <c r="AP3" s="6" t="s">
        <v>11</v>
      </c>
      <c r="AQ3" s="6" t="s">
        <v>4</v>
      </c>
      <c r="AR3" s="6" t="s">
        <v>6</v>
      </c>
      <c r="AS3" s="7" t="s">
        <v>7</v>
      </c>
      <c r="AT3" s="7" t="s">
        <v>8</v>
      </c>
      <c r="AU3" s="8" t="s">
        <v>9</v>
      </c>
      <c r="AV3" s="6" t="s">
        <v>5</v>
      </c>
    </row>
    <row r="4" spans="5:56" ht="60" customHeight="1" x14ac:dyDescent="0.2">
      <c r="E4" s="110">
        <v>1</v>
      </c>
      <c r="F4" s="132" t="s">
        <v>16</v>
      </c>
      <c r="G4" s="133" t="e">
        <f>SUM(#REF!)</f>
        <v>#REF!</v>
      </c>
      <c r="H4" s="134" t="e">
        <f>SUM(#REF!)</f>
        <v>#REF!</v>
      </c>
      <c r="I4" s="133" t="e">
        <f>SUM(#REF!)</f>
        <v>#REF!</v>
      </c>
      <c r="J4" s="135" t="e">
        <f>SUM(#REF!)</f>
        <v>#REF!</v>
      </c>
      <c r="K4" s="133" t="e">
        <f>SUM(#REF!)</f>
        <v>#REF!</v>
      </c>
      <c r="L4" s="135" t="e">
        <f>SUM(#REF!)</f>
        <v>#REF!</v>
      </c>
      <c r="M4" s="133" t="e">
        <f>SUM(#REF!)</f>
        <v>#REF!</v>
      </c>
      <c r="N4" s="135" t="e">
        <f>SUM(#REF!)</f>
        <v>#REF!</v>
      </c>
      <c r="O4" s="133" t="e">
        <f>SUM(#REF!)</f>
        <v>#REF!</v>
      </c>
      <c r="P4" s="135" t="e">
        <f>SUM(#REF!)</f>
        <v>#REF!</v>
      </c>
      <c r="Q4" s="133" t="e">
        <f>SUM(#REF!)</f>
        <v>#REF!</v>
      </c>
      <c r="R4" s="135" t="e">
        <f>SUM(#REF!)</f>
        <v>#REF!</v>
      </c>
      <c r="S4" s="136" t="e">
        <f>SUM(#REF!)</f>
        <v>#REF!</v>
      </c>
      <c r="T4" s="136" t="e">
        <f>SUM(#REF!)</f>
        <v>#REF!</v>
      </c>
      <c r="U4" s="136" t="e">
        <f>SUM(#REF!)</f>
        <v>#REF!</v>
      </c>
      <c r="V4" s="137">
        <f>'תקציב מפורט לספר '!V10</f>
        <v>8049000</v>
      </c>
      <c r="W4" s="137">
        <f>'תקציב מפורט לספר '!W10</f>
        <v>2089000</v>
      </c>
      <c r="X4" s="137">
        <f>'תקציב מפורט לספר '!X10</f>
        <v>0</v>
      </c>
      <c r="Y4" s="137">
        <f>'תקציב מפורט לספר '!Y10</f>
        <v>0</v>
      </c>
      <c r="Z4" s="137">
        <f>'תקציב מפורט לספר '!Z10</f>
        <v>0</v>
      </c>
      <c r="AA4" s="137">
        <f>'תקציב מפורט לספר '!AA10</f>
        <v>1489000</v>
      </c>
      <c r="AB4" s="137">
        <f>'תקציב מפורט לספר '!AB10</f>
        <v>600000</v>
      </c>
      <c r="AC4" s="137">
        <f>'תקציב מפורט לספר '!AC10</f>
        <v>5960000</v>
      </c>
      <c r="AD4" s="137">
        <f>'תקציב מפורט לספר '!AD10</f>
        <v>0</v>
      </c>
      <c r="AE4" s="137">
        <f>'תקציב מפורט לספר '!AE10</f>
        <v>0</v>
      </c>
      <c r="AF4" s="137">
        <f>'תקציב מפורט לספר '!AF10</f>
        <v>0</v>
      </c>
      <c r="AG4" s="137">
        <f>'תקציב מפורט לספר '!AG10</f>
        <v>500000</v>
      </c>
      <c r="AH4" s="137">
        <f>'תקציב מפורט לספר '!AH10</f>
        <v>5460000</v>
      </c>
      <c r="AI4" s="119">
        <f>'תקציב מפורט לספר '!AI10</f>
        <v>0</v>
      </c>
      <c r="AJ4" s="119">
        <f>'תקציב מפורט לספר '!AJ10</f>
        <v>0</v>
      </c>
      <c r="AK4" s="119">
        <f>'תקציב מפורט לספר '!AK10</f>
        <v>0</v>
      </c>
      <c r="AL4" s="119">
        <f>'תקציב מפורט לספר '!AL10</f>
        <v>1989000</v>
      </c>
      <c r="AM4" s="119">
        <f>'תקציב מפורט לספר '!AM10</f>
        <v>6060000</v>
      </c>
      <c r="AN4" s="119">
        <f>'תקציב מפורט לספר '!AN10</f>
        <v>8049000</v>
      </c>
      <c r="AO4" s="52">
        <f>'תקציב מפורט לספר '!AO10</f>
        <v>0</v>
      </c>
      <c r="AP4" s="52">
        <f>'תקציב מפורט לספר '!AP10</f>
        <v>0</v>
      </c>
      <c r="AQ4" s="52">
        <f>'תקציב מפורט לספר '!AQ10</f>
        <v>0</v>
      </c>
      <c r="AR4" s="52">
        <f>'תקציב מפורט לספר '!AR10</f>
        <v>0</v>
      </c>
      <c r="AS4" s="52">
        <f>'תקציב מפורט לספר '!AS10</f>
        <v>0</v>
      </c>
      <c r="AT4" s="52">
        <f>'תקציב מפורט לספר '!AT10</f>
        <v>0</v>
      </c>
      <c r="AU4" s="52">
        <f>'תקציב מפורט לספר '!AU10</f>
        <v>0</v>
      </c>
      <c r="AV4" s="52">
        <f>'תקציב מפורט לספר '!AV10</f>
        <v>0</v>
      </c>
      <c r="AW4" s="52">
        <f>'תקציב מפורט לספר '!AW10</f>
        <v>0</v>
      </c>
      <c r="AX4" s="52">
        <f>'תקציב מפורט לספר '!AX10</f>
        <v>0</v>
      </c>
      <c r="AY4" s="52">
        <f>'תקציב מפורט לספר '!AY10</f>
        <v>0</v>
      </c>
      <c r="AZ4" s="52">
        <f>'תקציב מפורט לספר '!AZ10</f>
        <v>0</v>
      </c>
      <c r="BA4" s="52">
        <f>'תקציב מפורט לספר '!BA10</f>
        <v>0</v>
      </c>
      <c r="BB4" s="52">
        <f>'תקציב מפורט לספר '!BB10</f>
        <v>0</v>
      </c>
      <c r="BC4" s="52">
        <f>'תקציב מפורט לספר '!BC10</f>
        <v>0</v>
      </c>
    </row>
    <row r="5" spans="5:56" ht="60" customHeight="1" x14ac:dyDescent="0.2">
      <c r="E5" s="138">
        <v>2</v>
      </c>
      <c r="F5" s="114" t="s">
        <v>50</v>
      </c>
      <c r="G5" s="115" t="e">
        <f>#REF!+#REF!+#REF!+#REF!+#REF!+#REF!</f>
        <v>#REF!</v>
      </c>
      <c r="H5" s="116" t="e">
        <f>#REF!+#REF!+#REF!+#REF!+#REF!+#REF!</f>
        <v>#REF!</v>
      </c>
      <c r="I5" s="115" t="e">
        <f>#REF!+#REF!+#REF!+#REF!+#REF!+#REF!</f>
        <v>#REF!</v>
      </c>
      <c r="J5" s="117" t="e">
        <f>#REF!+#REF!+#REF!+#REF!+#REF!+#REF!</f>
        <v>#REF!</v>
      </c>
      <c r="K5" s="115" t="e">
        <f>#REF!+#REF!+#REF!+#REF!+#REF!+#REF!</f>
        <v>#REF!</v>
      </c>
      <c r="L5" s="117" t="e">
        <f>#REF!+#REF!+#REF!+#REF!+#REF!+#REF!</f>
        <v>#REF!</v>
      </c>
      <c r="M5" s="115" t="e">
        <f>#REF!+#REF!+#REF!+#REF!+#REF!+#REF!</f>
        <v>#REF!</v>
      </c>
      <c r="N5" s="117" t="e">
        <f>#REF!+#REF!+#REF!+#REF!+#REF!+#REF!</f>
        <v>#REF!</v>
      </c>
      <c r="O5" s="115" t="e">
        <f>#REF!+#REF!+#REF!+#REF!+#REF!+#REF!</f>
        <v>#REF!</v>
      </c>
      <c r="P5" s="117" t="e">
        <f>#REF!+#REF!+#REF!+#REF!+#REF!+#REF!</f>
        <v>#REF!</v>
      </c>
      <c r="Q5" s="115" t="e">
        <f>#REF!+#REF!+#REF!+#REF!+#REF!+#REF!</f>
        <v>#REF!</v>
      </c>
      <c r="R5" s="117" t="e">
        <f>#REF!+#REF!+#REF!+#REF!+#REF!+#REF!</f>
        <v>#REF!</v>
      </c>
      <c r="S5" s="118" t="e">
        <f>#REF!+#REF!+#REF!+#REF!+#REF!+#REF!</f>
        <v>#REF!</v>
      </c>
      <c r="T5" s="118" t="e">
        <f>#REF!+#REF!+#REF!+#REF!+#REF!+#REF!</f>
        <v>#REF!</v>
      </c>
      <c r="U5" s="118" t="e">
        <f>#REF!+#REF!+#REF!+#REF!+#REF!+#REF!</f>
        <v>#REF!</v>
      </c>
      <c r="V5" s="119">
        <f>'תקציב מפורט לספר '!V103</f>
        <v>361700000</v>
      </c>
      <c r="W5" s="119">
        <f>'תקציב מפורט לספר '!W103</f>
        <v>149125000</v>
      </c>
      <c r="X5" s="119">
        <f>'תקציב מפורט לספר '!X103</f>
        <v>43430000</v>
      </c>
      <c r="Y5" s="119">
        <f>'תקציב מפורט לספר '!Y103</f>
        <v>50075000</v>
      </c>
      <c r="Z5" s="119">
        <f>'תקציב מפורט לספר '!Z103</f>
        <v>43800000</v>
      </c>
      <c r="AA5" s="119">
        <f>'תקציב מפורט לספר '!AA103</f>
        <v>3220000</v>
      </c>
      <c r="AB5" s="119">
        <f>'תקציב מפורט לספר '!AB103</f>
        <v>8600000</v>
      </c>
      <c r="AC5" s="119">
        <f>'תקציב מפורט לספר '!AC103</f>
        <v>212575000</v>
      </c>
      <c r="AD5" s="119">
        <f>'תקציב מפורט לספר '!AD103</f>
        <v>9450000</v>
      </c>
      <c r="AE5" s="119">
        <f>'תקציב מפורט לספר '!AE103</f>
        <v>73575000</v>
      </c>
      <c r="AF5" s="119">
        <f>'תקציב מפורט לספר '!AF103</f>
        <v>114590000</v>
      </c>
      <c r="AG5" s="119">
        <f>'תקציב מפורט לספר '!AG103</f>
        <v>3960000</v>
      </c>
      <c r="AH5" s="119">
        <f>'תקציב מפורט לספר '!AH103</f>
        <v>11000000</v>
      </c>
      <c r="AI5" s="119">
        <f>'תקציב מפורט לספר '!AI103</f>
        <v>52880000</v>
      </c>
      <c r="AJ5" s="119">
        <f>'תקציב מפורט לספר '!AJ103</f>
        <v>123650000</v>
      </c>
      <c r="AK5" s="119">
        <f>'תקציב מפורט לספר '!AK103</f>
        <v>158390000</v>
      </c>
      <c r="AL5" s="119">
        <f>'תקציב מפורט לספר '!AL103</f>
        <v>7180000</v>
      </c>
      <c r="AM5" s="119">
        <f>'תקציב מפורט לספר '!AM103</f>
        <v>19600000</v>
      </c>
      <c r="AN5" s="119">
        <f>'תקציב מפורט לספר '!AN103</f>
        <v>264620000</v>
      </c>
      <c r="AO5" s="52">
        <f>'תקציב מפורט לספר '!AO103</f>
        <v>0</v>
      </c>
      <c r="AP5" s="52">
        <f>'תקציב מפורט לספר '!AP103</f>
        <v>0</v>
      </c>
      <c r="AQ5" s="52">
        <f>'תקציב מפורט לספר '!AQ103</f>
        <v>0</v>
      </c>
      <c r="AR5" s="52">
        <f>'תקציב מפורט לספר '!AR103</f>
        <v>0</v>
      </c>
      <c r="AS5" s="52">
        <f>'תקציב מפורט לספר '!AS103</f>
        <v>0</v>
      </c>
      <c r="AT5" s="52">
        <f>'תקציב מפורט לספר '!AT103</f>
        <v>0</v>
      </c>
      <c r="AU5" s="52">
        <f>'תקציב מפורט לספר '!AU103</f>
        <v>0</v>
      </c>
      <c r="AV5" s="52">
        <f>'תקציב מפורט לספר '!AV103</f>
        <v>0</v>
      </c>
      <c r="AW5" s="52">
        <f>'תקציב מפורט לספר '!AW103</f>
        <v>0</v>
      </c>
      <c r="AX5" s="52">
        <f>'תקציב מפורט לספר '!AX103</f>
        <v>0</v>
      </c>
      <c r="AY5" s="52">
        <f>'תקציב מפורט לספר '!AY103</f>
        <v>0</v>
      </c>
      <c r="AZ5" s="52">
        <f>'תקציב מפורט לספר '!AZ103</f>
        <v>0</v>
      </c>
      <c r="BA5" s="52">
        <f>'תקציב מפורט לספר '!BA103</f>
        <v>0</v>
      </c>
      <c r="BB5" s="52">
        <f>'תקציב מפורט לספר '!BB103</f>
        <v>0</v>
      </c>
      <c r="BC5" s="52">
        <f>'תקציב מפורט לספר '!BC103</f>
        <v>0</v>
      </c>
    </row>
    <row r="6" spans="5:56" ht="60" customHeight="1" x14ac:dyDescent="0.2">
      <c r="E6" s="138">
        <v>3</v>
      </c>
      <c r="F6" s="114" t="s">
        <v>102</v>
      </c>
      <c r="G6" s="115" t="e">
        <f>#REF!+#REF!+#REF!</f>
        <v>#REF!</v>
      </c>
      <c r="H6" s="116" t="e">
        <f>#REF!+#REF!+#REF!</f>
        <v>#REF!</v>
      </c>
      <c r="I6" s="115" t="e">
        <f>#REF!+#REF!+#REF!</f>
        <v>#REF!</v>
      </c>
      <c r="J6" s="117" t="e">
        <f>#REF!+#REF!+#REF!</f>
        <v>#REF!</v>
      </c>
      <c r="K6" s="115" t="e">
        <f>#REF!+#REF!+#REF!</f>
        <v>#REF!</v>
      </c>
      <c r="L6" s="117" t="e">
        <f>#REF!+#REF!+#REF!</f>
        <v>#REF!</v>
      </c>
      <c r="M6" s="115" t="e">
        <f>#REF!+#REF!+#REF!</f>
        <v>#REF!</v>
      </c>
      <c r="N6" s="117" t="e">
        <f>#REF!+#REF!+#REF!</f>
        <v>#REF!</v>
      </c>
      <c r="O6" s="115" t="e">
        <f>#REF!+#REF!+#REF!</f>
        <v>#REF!</v>
      </c>
      <c r="P6" s="117" t="e">
        <f>#REF!+#REF!+#REF!</f>
        <v>#REF!</v>
      </c>
      <c r="Q6" s="115" t="e">
        <f>#REF!+#REF!+#REF!</f>
        <v>#REF!</v>
      </c>
      <c r="R6" s="117" t="e">
        <f>#REF!+#REF!+#REF!</f>
        <v>#REF!</v>
      </c>
      <c r="S6" s="118" t="e">
        <f>#REF!+#REF!+#REF!</f>
        <v>#REF!</v>
      </c>
      <c r="T6" s="120" t="e">
        <f>#REF!+#REF!+#REF!</f>
        <v>#REF!</v>
      </c>
      <c r="U6" s="116" t="e">
        <f>#REF!+#REF!+#REF!</f>
        <v>#REF!</v>
      </c>
      <c r="V6" s="119">
        <f>'תקציב מפורט לספר '!V201</f>
        <v>67305000</v>
      </c>
      <c r="W6" s="119">
        <f>'תקציב מפורט לספר '!W201</f>
        <v>44375000</v>
      </c>
      <c r="X6" s="119">
        <f>'תקציב מפורט לספר '!X201</f>
        <v>7611000</v>
      </c>
      <c r="Y6" s="119">
        <f>'תקציב מפורט לספר '!Y201</f>
        <v>2050000</v>
      </c>
      <c r="Z6" s="119">
        <f>'תקציב מפורט לספר '!Z201</f>
        <v>0</v>
      </c>
      <c r="AA6" s="119">
        <f>'תקציב מפורט לספר '!AA201</f>
        <v>20089000</v>
      </c>
      <c r="AB6" s="119">
        <f>'תקציב מפורט לספר '!AB201</f>
        <v>14625000</v>
      </c>
      <c r="AC6" s="119">
        <f>'תקציב מפורט לספר '!AC201</f>
        <v>22930000</v>
      </c>
      <c r="AD6" s="119">
        <f>'תקציב מפורט לספר '!AD201</f>
        <v>0</v>
      </c>
      <c r="AE6" s="119">
        <f>'תקציב מפורט לספר '!AE201</f>
        <v>0</v>
      </c>
      <c r="AF6" s="119">
        <f>'תקציב מפורט לספר '!AF201</f>
        <v>0</v>
      </c>
      <c r="AG6" s="119">
        <f>'תקציב מפורט לספר '!AG201</f>
        <v>15580000</v>
      </c>
      <c r="AH6" s="119">
        <f>'תקציב מפורט לספר '!AH201</f>
        <v>7350000</v>
      </c>
      <c r="AI6" s="119">
        <f>'תקציב מפורט לספר '!AI201</f>
        <v>7611000</v>
      </c>
      <c r="AJ6" s="119">
        <f>'תקציב מפורט לספר '!AJ201</f>
        <v>2050000</v>
      </c>
      <c r="AK6" s="119">
        <f>'תקציב מפורט לספר '!AK201</f>
        <v>0</v>
      </c>
      <c r="AL6" s="119">
        <f>'תקציב מפורט לספר '!AL201</f>
        <v>35669000</v>
      </c>
      <c r="AM6" s="119">
        <f>'תקציב מפורט לספר '!AM201</f>
        <v>21975000</v>
      </c>
      <c r="AN6" s="119">
        <f>'תקציב מפורט לספר '!AN201</f>
        <v>58494000</v>
      </c>
      <c r="AO6" s="52">
        <f>'תקציב מפורט לספר '!AO201</f>
        <v>0</v>
      </c>
      <c r="AP6" s="52">
        <f>'תקציב מפורט לספר '!AP201</f>
        <v>0</v>
      </c>
      <c r="AQ6" s="52">
        <f>'תקציב מפורט לספר '!AQ201</f>
        <v>0</v>
      </c>
      <c r="AR6" s="52">
        <f>'תקציב מפורט לספר '!AR201</f>
        <v>0</v>
      </c>
      <c r="AS6" s="52">
        <f>'תקציב מפורט לספר '!AS201</f>
        <v>0</v>
      </c>
      <c r="AT6" s="52">
        <f>'תקציב מפורט לספר '!AT201</f>
        <v>0</v>
      </c>
      <c r="AU6" s="52">
        <f>'תקציב מפורט לספר '!AU201</f>
        <v>0</v>
      </c>
      <c r="AV6" s="52">
        <f>'תקציב מפורט לספר '!AV201</f>
        <v>0</v>
      </c>
      <c r="AW6" s="52">
        <f>'תקציב מפורט לספר '!AW201</f>
        <v>0</v>
      </c>
      <c r="AX6" s="52">
        <f>'תקציב מפורט לספר '!AX201</f>
        <v>0</v>
      </c>
      <c r="AY6" s="52">
        <f>'תקציב מפורט לספר '!AY201</f>
        <v>0</v>
      </c>
      <c r="AZ6" s="52">
        <f>'תקציב מפורט לספר '!AZ201</f>
        <v>0</v>
      </c>
      <c r="BA6" s="52">
        <f>'תקציב מפורט לספר '!BA201</f>
        <v>0</v>
      </c>
      <c r="BB6" s="52">
        <f>'תקציב מפורט לספר '!BB201</f>
        <v>0</v>
      </c>
      <c r="BC6" s="52">
        <f>'תקציב מפורט לספר '!BC201</f>
        <v>0</v>
      </c>
    </row>
    <row r="7" spans="5:56" ht="60" customHeight="1" x14ac:dyDescent="0.2">
      <c r="E7" s="138">
        <v>4</v>
      </c>
      <c r="F7" s="114" t="s">
        <v>203</v>
      </c>
      <c r="G7" s="115" t="e">
        <f>#REF!+#REF!+#REF!+#REF!+#REF!+#REF!+#REF!+#REF!+#REF!</f>
        <v>#REF!</v>
      </c>
      <c r="H7" s="116" t="e">
        <f>#REF!+#REF!+#REF!+#REF!+#REF!+#REF!+#REF!+#REF!+#REF!</f>
        <v>#REF!</v>
      </c>
      <c r="I7" s="115" t="e">
        <f>#REF!+#REF!+#REF!+#REF!+#REF!+#REF!+#REF!+#REF!+#REF!</f>
        <v>#REF!</v>
      </c>
      <c r="J7" s="117" t="e">
        <f>#REF!+#REF!+#REF!+#REF!+#REF!+#REF!+#REF!+#REF!+#REF!</f>
        <v>#REF!</v>
      </c>
      <c r="K7" s="115" t="e">
        <f>#REF!+#REF!+#REF!+#REF!+#REF!+#REF!+#REF!+#REF!+#REF!</f>
        <v>#REF!</v>
      </c>
      <c r="L7" s="117" t="e">
        <f>#REF!+#REF!+#REF!+#REF!+#REF!+#REF!+#REF!+#REF!+#REF!</f>
        <v>#REF!</v>
      </c>
      <c r="M7" s="115" t="e">
        <f>#REF!+#REF!+#REF!+#REF!+#REF!+#REF!+#REF!+#REF!+#REF!</f>
        <v>#REF!</v>
      </c>
      <c r="N7" s="117" t="e">
        <f>#REF!+#REF!+#REF!+#REF!+#REF!+#REF!+#REF!+#REF!+#REF!</f>
        <v>#REF!</v>
      </c>
      <c r="O7" s="115" t="e">
        <f>#REF!+#REF!+#REF!+#REF!+#REF!+#REF!+#REF!+#REF!+#REF!</f>
        <v>#REF!</v>
      </c>
      <c r="P7" s="117" t="e">
        <f>#REF!+#REF!+#REF!+#REF!+#REF!+#REF!+#REF!+#REF!+#REF!</f>
        <v>#REF!</v>
      </c>
      <c r="Q7" s="115" t="e">
        <f>#REF!+#REF!+#REF!+#REF!+#REF!+#REF!+#REF!+#REF!+#REF!</f>
        <v>#REF!</v>
      </c>
      <c r="R7" s="117" t="e">
        <f>#REF!+#REF!+#REF!+#REF!+#REF!+#REF!+#REF!+#REF!+#REF!</f>
        <v>#REF!</v>
      </c>
      <c r="S7" s="118" t="e">
        <f>#REF!+#REF!+#REF!+#REF!+#REF!+#REF!+#REF!+#REF!+#REF!</f>
        <v>#REF!</v>
      </c>
      <c r="T7" s="120" t="e">
        <f>#REF!+#REF!+#REF!+#REF!+#REF!+#REF!+#REF!+#REF!+#REF!</f>
        <v>#REF!</v>
      </c>
      <c r="U7" s="116" t="e">
        <f>#REF!+#REF!+#REF!+#REF!+#REF!+#REF!+#REF!+#REF!+#REF!</f>
        <v>#REF!</v>
      </c>
      <c r="V7" s="119">
        <f>'תקציב מפורט לספר '!V404</f>
        <v>333750000</v>
      </c>
      <c r="W7" s="119">
        <f>'תקציב מפורט לספר '!W404</f>
        <v>202067000</v>
      </c>
      <c r="X7" s="119">
        <f>'תקציב מפורט לספר '!X404</f>
        <v>40790000</v>
      </c>
      <c r="Y7" s="119">
        <f>'תקציב מפורט לספר '!Y404</f>
        <v>30955000</v>
      </c>
      <c r="Z7" s="119">
        <f>'תקציב מפורט לספר '!Z404</f>
        <v>24205000</v>
      </c>
      <c r="AA7" s="119">
        <f>'תקציב מפורט לספר '!AA404</f>
        <v>104079500</v>
      </c>
      <c r="AB7" s="119">
        <f>'תקציב מפורט לספר '!AB404</f>
        <v>2037500</v>
      </c>
      <c r="AC7" s="119">
        <f>'תקציב מפורט לספר '!AC404</f>
        <v>131683000</v>
      </c>
      <c r="AD7" s="119">
        <f>'תקציב מפורט לספר '!AD404</f>
        <v>1960000</v>
      </c>
      <c r="AE7" s="119">
        <f>'תקציב מפורט לספר '!AE404</f>
        <v>48203000</v>
      </c>
      <c r="AF7" s="119">
        <f>'תקציב מפורט לספר '!AF404</f>
        <v>34182000</v>
      </c>
      <c r="AG7" s="119">
        <f>'תקציב מפורט לספר '!AG404</f>
        <v>43293500</v>
      </c>
      <c r="AH7" s="119">
        <f>'תקציב מפורט לספר '!AH404</f>
        <v>4044500</v>
      </c>
      <c r="AI7" s="119">
        <f>'תקציב מפורט לספר '!AI404</f>
        <v>42750000</v>
      </c>
      <c r="AJ7" s="119">
        <f>'תקציב מפורט לספר '!AJ404</f>
        <v>79158000</v>
      </c>
      <c r="AK7" s="119">
        <f>'תקציב מפורט לספר '!AK404</f>
        <v>58387000</v>
      </c>
      <c r="AL7" s="119">
        <f>'תקציב מפורט לספר '!AL404</f>
        <v>147373000</v>
      </c>
      <c r="AM7" s="119">
        <f>'תקציב מפורט לספר '!AM404</f>
        <v>6082000</v>
      </c>
      <c r="AN7" s="119">
        <f>'תקציב מפורט לספר '!AN404</f>
        <v>291000000</v>
      </c>
      <c r="AO7" s="52">
        <f>'תקציב מפורט לספר '!AO404</f>
        <v>0</v>
      </c>
      <c r="AP7" s="52">
        <f>'תקציב מפורט לספר '!AP404</f>
        <v>52900000</v>
      </c>
      <c r="AQ7" s="52">
        <f>'תקציב מפורט לספר '!AQ404</f>
        <v>0</v>
      </c>
      <c r="AR7" s="52">
        <f>'תקציב מפורט לספר '!AR404</f>
        <v>0</v>
      </c>
      <c r="AS7" s="52">
        <f>'תקציב מפורט לספר '!AS404</f>
        <v>0</v>
      </c>
      <c r="AT7" s="52">
        <f>'תקציב מפורט לספר '!AT404</f>
        <v>52900000</v>
      </c>
      <c r="AU7" s="52">
        <f>'תקציב מפורט לספר '!AU404</f>
        <v>0</v>
      </c>
      <c r="AV7" s="52">
        <f>'תקציב מפורט לספר '!AV404</f>
        <v>52900000</v>
      </c>
      <c r="AW7" s="52">
        <f>'תקציב מפורט לספר '!AW404</f>
        <v>0</v>
      </c>
      <c r="AX7" s="52">
        <f>'תקציב מפורט לספר '!AX404</f>
        <v>0</v>
      </c>
      <c r="AY7" s="52">
        <f>'תקציב מפורט לספר '!AY404</f>
        <v>0</v>
      </c>
      <c r="AZ7" s="52">
        <f>'תקציב מפורט לספר '!AZ404</f>
        <v>0</v>
      </c>
      <c r="BA7" s="52">
        <f>'תקציב מפורט לספר '!BA404</f>
        <v>0</v>
      </c>
      <c r="BB7" s="52">
        <f>'תקציב מפורט לספר '!BB404</f>
        <v>0</v>
      </c>
      <c r="BC7" s="52">
        <f>'תקציב מפורט לספר '!BC404</f>
        <v>0</v>
      </c>
      <c r="BD7" s="61"/>
    </row>
    <row r="8" spans="5:56" ht="60" customHeight="1" x14ac:dyDescent="0.2">
      <c r="E8" s="138">
        <v>5</v>
      </c>
      <c r="F8" s="114" t="s">
        <v>221</v>
      </c>
      <c r="G8" s="115" t="e">
        <f>#REF!+#REF!+#REF!</f>
        <v>#REF!</v>
      </c>
      <c r="H8" s="116" t="e">
        <f>#REF!+#REF!+#REF!</f>
        <v>#REF!</v>
      </c>
      <c r="I8" s="115" t="e">
        <f>#REF!+#REF!+#REF!</f>
        <v>#REF!</v>
      </c>
      <c r="J8" s="117" t="e">
        <f>#REF!+#REF!+#REF!</f>
        <v>#REF!</v>
      </c>
      <c r="K8" s="115" t="e">
        <f>#REF!+#REF!+#REF!</f>
        <v>#REF!</v>
      </c>
      <c r="L8" s="117" t="e">
        <f>#REF!+#REF!+#REF!</f>
        <v>#REF!</v>
      </c>
      <c r="M8" s="115" t="e">
        <f>#REF!+#REF!+#REF!</f>
        <v>#REF!</v>
      </c>
      <c r="N8" s="117" t="e">
        <f>#REF!+#REF!+#REF!</f>
        <v>#REF!</v>
      </c>
      <c r="O8" s="115" t="e">
        <f>#REF!+#REF!+#REF!</f>
        <v>#REF!</v>
      </c>
      <c r="P8" s="117" t="e">
        <f>#REF!+#REF!+#REF!</f>
        <v>#REF!</v>
      </c>
      <c r="Q8" s="115" t="e">
        <f>#REF!+#REF!+#REF!</f>
        <v>#REF!</v>
      </c>
      <c r="R8" s="117" t="e">
        <f>#REF!+#REF!+#REF!</f>
        <v>#REF!</v>
      </c>
      <c r="S8" s="118" t="e">
        <f>#REF!+#REF!+#REF!</f>
        <v>#REF!</v>
      </c>
      <c r="T8" s="120" t="e">
        <f>#REF!+#REF!+#REF!</f>
        <v>#REF!</v>
      </c>
      <c r="U8" s="116" t="e">
        <f>#REF!+#REF!+#REF!</f>
        <v>#REF!</v>
      </c>
      <c r="V8" s="119">
        <f>'תקציב מפורט לספר '!V433</f>
        <v>24455000</v>
      </c>
      <c r="W8" s="119">
        <f>'תקציב מפורט לספר '!W433</f>
        <v>6035000</v>
      </c>
      <c r="X8" s="119">
        <f>'תקציב מפורט לספר '!X433</f>
        <v>0</v>
      </c>
      <c r="Y8" s="119">
        <f>'תקציב מפורט לספר '!Y433</f>
        <v>0</v>
      </c>
      <c r="Z8" s="119">
        <f>'תקציב מפורט לספר '!Z433</f>
        <v>0</v>
      </c>
      <c r="AA8" s="119">
        <f>'תקציב מפורט לספר '!AA433</f>
        <v>4435000</v>
      </c>
      <c r="AB8" s="119">
        <f>'תקציב מפורט לספר '!AB433</f>
        <v>1600000</v>
      </c>
      <c r="AC8" s="119">
        <f>'תקציב מפורט לספר '!AC433</f>
        <v>18420000</v>
      </c>
      <c r="AD8" s="119">
        <f>'תקציב מפורט לספר '!AD433</f>
        <v>0</v>
      </c>
      <c r="AE8" s="119">
        <f>'תקציב מפורט לספר '!AE433</f>
        <v>0</v>
      </c>
      <c r="AF8" s="119">
        <f>'תקציב מפורט לספר '!AF433</f>
        <v>0</v>
      </c>
      <c r="AG8" s="119">
        <f>'תקציב מפורט לספר '!AG433</f>
        <v>9385000</v>
      </c>
      <c r="AH8" s="119">
        <f>'תקציב מפורט לספר '!AH433</f>
        <v>9035000</v>
      </c>
      <c r="AI8" s="119">
        <f>'תקציב מפורט לספר '!AI433</f>
        <v>0</v>
      </c>
      <c r="AJ8" s="119">
        <f>'תקציב מפורט לספר '!AJ433</f>
        <v>0</v>
      </c>
      <c r="AK8" s="119">
        <f>'תקציב מפורט לספר '!AK433</f>
        <v>0</v>
      </c>
      <c r="AL8" s="119">
        <f>'תקציב מפורט לספר '!AL433</f>
        <v>13820000</v>
      </c>
      <c r="AM8" s="119">
        <f>'תקציב מפורט לספר '!AM433</f>
        <v>10635000</v>
      </c>
      <c r="AN8" s="119">
        <f>'תקציב מפורט לספר '!AN433</f>
        <v>24455000</v>
      </c>
      <c r="AO8" s="52">
        <f>'תקציב מפורט לספר '!AO433</f>
        <v>0</v>
      </c>
      <c r="AP8" s="52">
        <f>'תקציב מפורט לספר '!AP433</f>
        <v>0</v>
      </c>
      <c r="AQ8" s="52">
        <f>'תקציב מפורט לספר '!AQ433</f>
        <v>0</v>
      </c>
      <c r="AR8" s="52">
        <f>'תקציב מפורט לספר '!AR433</f>
        <v>0</v>
      </c>
      <c r="AS8" s="52">
        <f>'תקציב מפורט לספר '!AS433</f>
        <v>0</v>
      </c>
      <c r="AT8" s="52">
        <f>'תקציב מפורט לספר '!AT433</f>
        <v>0</v>
      </c>
      <c r="AU8" s="52">
        <f>'תקציב מפורט לספר '!AU433</f>
        <v>0</v>
      </c>
      <c r="AV8" s="52">
        <f>'תקציב מפורט לספר '!AV433</f>
        <v>0</v>
      </c>
      <c r="AW8" s="52">
        <f>'תקציב מפורט לספר '!AW433</f>
        <v>0</v>
      </c>
      <c r="AX8" s="52">
        <f>'תקציב מפורט לספר '!AX433</f>
        <v>0</v>
      </c>
      <c r="AY8" s="52">
        <f>'תקציב מפורט לספר '!AY433</f>
        <v>0</v>
      </c>
      <c r="AZ8" s="52">
        <f>'תקציב מפורט לספר '!AZ433</f>
        <v>0</v>
      </c>
      <c r="BA8" s="52">
        <f>'תקציב מפורט לספר '!BA433</f>
        <v>0</v>
      </c>
      <c r="BB8" s="52">
        <f>'תקציב מפורט לספר '!BB433</f>
        <v>0</v>
      </c>
      <c r="BC8" s="52">
        <f>'תקציב מפורט לספר '!BC433</f>
        <v>0</v>
      </c>
    </row>
    <row r="9" spans="5:56" ht="60" customHeight="1" x14ac:dyDescent="0.2">
      <c r="E9" s="138">
        <v>6</v>
      </c>
      <c r="F9" s="114" t="s">
        <v>226</v>
      </c>
      <c r="G9" s="115" t="e">
        <f>SUM(#REF!)</f>
        <v>#REF!</v>
      </c>
      <c r="H9" s="116" t="e">
        <f>SUM(#REF!)</f>
        <v>#REF!</v>
      </c>
      <c r="I9" s="115" t="e">
        <f>SUM(#REF!)</f>
        <v>#REF!</v>
      </c>
      <c r="J9" s="117" t="e">
        <f>SUM(#REF!)</f>
        <v>#REF!</v>
      </c>
      <c r="K9" s="115" t="e">
        <f>SUM(#REF!)</f>
        <v>#REF!</v>
      </c>
      <c r="L9" s="117" t="e">
        <f>SUM(#REF!)</f>
        <v>#REF!</v>
      </c>
      <c r="M9" s="115" t="e">
        <f>SUM(#REF!)</f>
        <v>#REF!</v>
      </c>
      <c r="N9" s="117" t="e">
        <f>SUM(#REF!)</f>
        <v>#REF!</v>
      </c>
      <c r="O9" s="115" t="e">
        <f>SUM(#REF!)</f>
        <v>#REF!</v>
      </c>
      <c r="P9" s="117" t="e">
        <f>SUM(#REF!)</f>
        <v>#REF!</v>
      </c>
      <c r="Q9" s="115" t="e">
        <f>SUM(#REF!)</f>
        <v>#REF!</v>
      </c>
      <c r="R9" s="117" t="e">
        <f>SUM(#REF!)</f>
        <v>#REF!</v>
      </c>
      <c r="S9" s="118" t="e">
        <f>SUM(#REF!)</f>
        <v>#REF!</v>
      </c>
      <c r="T9" s="120" t="e">
        <f>SUM(#REF!)</f>
        <v>#REF!</v>
      </c>
      <c r="U9" s="116" t="e">
        <f>SUM(#REF!)</f>
        <v>#REF!</v>
      </c>
      <c r="V9" s="119">
        <f>'תקציב מפורט לספר '!V438</f>
        <v>2350000</v>
      </c>
      <c r="W9" s="119">
        <f>'תקציב מפורט לספר '!W438</f>
        <v>1350000</v>
      </c>
      <c r="X9" s="119">
        <f>'תקציב מפורט לספר '!X438</f>
        <v>0</v>
      </c>
      <c r="Y9" s="119">
        <f>'תקציב מפורט לספר '!Y438</f>
        <v>0</v>
      </c>
      <c r="Z9" s="119">
        <f>'תקציב מפורט לספר '!Z438</f>
        <v>0</v>
      </c>
      <c r="AA9" s="119">
        <f>'תקציב מפורט לספר '!AA438</f>
        <v>1350000</v>
      </c>
      <c r="AB9" s="119">
        <f>'תקציב מפורט לספר '!AB438</f>
        <v>0</v>
      </c>
      <c r="AC9" s="119">
        <f>'תקציב מפורט לספר '!AC438</f>
        <v>1000000</v>
      </c>
      <c r="AD9" s="119">
        <f>'תקציב מפורט לספר '!AD438</f>
        <v>0</v>
      </c>
      <c r="AE9" s="119">
        <f>'תקציב מפורט לספר '!AE438</f>
        <v>0</v>
      </c>
      <c r="AF9" s="119">
        <f>'תקציב מפורט לספר '!AF438</f>
        <v>0</v>
      </c>
      <c r="AG9" s="119">
        <f>'תקציב מפורט לספר '!AG438</f>
        <v>1000000</v>
      </c>
      <c r="AH9" s="119">
        <f>'תקציב מפורט לספר '!AH438</f>
        <v>0</v>
      </c>
      <c r="AI9" s="119">
        <f>'תקציב מפורט לספר '!AI438</f>
        <v>0</v>
      </c>
      <c r="AJ9" s="119">
        <f>'תקציב מפורט לספר '!AJ438</f>
        <v>0</v>
      </c>
      <c r="AK9" s="119">
        <f>'תקציב מפורט לספר '!AK438</f>
        <v>0</v>
      </c>
      <c r="AL9" s="119">
        <f>'תקציב מפורט לספר '!AL438</f>
        <v>2350000</v>
      </c>
      <c r="AM9" s="119">
        <f>'תקציב מפורט לספר '!AM438</f>
        <v>0</v>
      </c>
      <c r="AN9" s="119">
        <f>'תקציב מפורט לספר '!AN438</f>
        <v>2350000</v>
      </c>
      <c r="AO9" s="52">
        <f>'תקציב מפורט לספר '!AO438</f>
        <v>0</v>
      </c>
      <c r="AP9" s="52">
        <f>'תקציב מפורט לספר '!AP438</f>
        <v>0</v>
      </c>
      <c r="AQ9" s="52">
        <f>'תקציב מפורט לספר '!AQ438</f>
        <v>0</v>
      </c>
      <c r="AR9" s="52">
        <f>'תקציב מפורט לספר '!AR438</f>
        <v>0</v>
      </c>
      <c r="AS9" s="52">
        <f>'תקציב מפורט לספר '!AS438</f>
        <v>0</v>
      </c>
      <c r="AT9" s="52">
        <f>'תקציב מפורט לספר '!AT438</f>
        <v>0</v>
      </c>
      <c r="AU9" s="52">
        <f>'תקציב מפורט לספר '!AU438</f>
        <v>0</v>
      </c>
      <c r="AV9" s="52">
        <f>'תקציב מפורט לספר '!AV438</f>
        <v>0</v>
      </c>
      <c r="AW9" s="52">
        <f>'תקציב מפורט לספר '!AW438</f>
        <v>0</v>
      </c>
      <c r="AX9" s="52">
        <f>'תקציב מפורט לספר '!AX438</f>
        <v>0</v>
      </c>
      <c r="AY9" s="52">
        <f>'תקציב מפורט לספר '!AY438</f>
        <v>0</v>
      </c>
      <c r="AZ9" s="52">
        <f>'תקציב מפורט לספר '!AZ438</f>
        <v>0</v>
      </c>
      <c r="BA9" s="52">
        <f>'תקציב מפורט לספר '!BA438</f>
        <v>0</v>
      </c>
      <c r="BB9" s="52">
        <f>'תקציב מפורט לספר '!BB438</f>
        <v>0</v>
      </c>
      <c r="BC9" s="52">
        <f>'תקציב מפורט לספר '!BC438</f>
        <v>0</v>
      </c>
    </row>
    <row r="10" spans="5:56" ht="60" customHeight="1" x14ac:dyDescent="0.2">
      <c r="E10" s="138">
        <v>7</v>
      </c>
      <c r="F10" s="114" t="s">
        <v>233</v>
      </c>
      <c r="G10" s="115" t="e">
        <f>SUM(#REF!)</f>
        <v>#REF!</v>
      </c>
      <c r="H10" s="116" t="e">
        <f>SUM(#REF!)</f>
        <v>#REF!</v>
      </c>
      <c r="I10" s="115" t="e">
        <f>SUM(#REF!)</f>
        <v>#REF!</v>
      </c>
      <c r="J10" s="117" t="e">
        <f>SUM(#REF!)</f>
        <v>#REF!</v>
      </c>
      <c r="K10" s="115" t="e">
        <f>SUM(#REF!)</f>
        <v>#REF!</v>
      </c>
      <c r="L10" s="117" t="e">
        <f>SUM(#REF!)</f>
        <v>#REF!</v>
      </c>
      <c r="M10" s="115" t="e">
        <f>SUM(#REF!)</f>
        <v>#REF!</v>
      </c>
      <c r="N10" s="117" t="e">
        <f>SUM(#REF!)</f>
        <v>#REF!</v>
      </c>
      <c r="O10" s="115" t="e">
        <f>SUM(#REF!)</f>
        <v>#REF!</v>
      </c>
      <c r="P10" s="117" t="e">
        <f>SUM(#REF!)</f>
        <v>#REF!</v>
      </c>
      <c r="Q10" s="115" t="e">
        <f>SUM(#REF!)</f>
        <v>#REF!</v>
      </c>
      <c r="R10" s="117" t="e">
        <f>SUM(#REF!)</f>
        <v>#REF!</v>
      </c>
      <c r="S10" s="118" t="e">
        <f>SUM(#REF!)</f>
        <v>#REF!</v>
      </c>
      <c r="T10" s="120" t="e">
        <f>SUM(#REF!)</f>
        <v>#REF!</v>
      </c>
      <c r="U10" s="116" t="e">
        <f>SUM(#REF!)</f>
        <v>#REF!</v>
      </c>
      <c r="V10" s="119">
        <f>'תקציב מפורט לספר '!V451</f>
        <v>49551000</v>
      </c>
      <c r="W10" s="119">
        <f>'תקציב מפורט לספר '!W451</f>
        <v>9638000</v>
      </c>
      <c r="X10" s="119">
        <f>'תקציב מפורט לספר '!X451</f>
        <v>3500000</v>
      </c>
      <c r="Y10" s="119">
        <f>'תקציב מפורט לספר '!Y451</f>
        <v>200000</v>
      </c>
      <c r="Z10" s="119">
        <f>'תקציב מפורט לספר '!Z451</f>
        <v>0</v>
      </c>
      <c r="AA10" s="119">
        <f>'תקציב מפורט לספר '!AA451</f>
        <v>2969000</v>
      </c>
      <c r="AB10" s="119">
        <f>'תקציב מפורט לספר '!AB451</f>
        <v>2969000</v>
      </c>
      <c r="AC10" s="119">
        <f>'תקציב מפורט לספר '!AC451</f>
        <v>39913000</v>
      </c>
      <c r="AD10" s="119">
        <f>'תקציב מפורט לספר '!AD451</f>
        <v>0</v>
      </c>
      <c r="AE10" s="119">
        <f>'תקציב מפורט לספר '!AE451</f>
        <v>10700000</v>
      </c>
      <c r="AF10" s="119">
        <f>'תקציב מפורט לספר '!AF451</f>
        <v>10700000</v>
      </c>
      <c r="AG10" s="119">
        <f>'תקציב מפורט לספר '!AG451</f>
        <v>16738000</v>
      </c>
      <c r="AH10" s="119">
        <f>'תקציב מפורט לספר '!AH451</f>
        <v>1775000</v>
      </c>
      <c r="AI10" s="119">
        <f>'תקציב מפורט לספר '!AI451</f>
        <v>3500000</v>
      </c>
      <c r="AJ10" s="119">
        <f>'תקציב מפורט לספר '!AJ451</f>
        <v>10900000</v>
      </c>
      <c r="AK10" s="119">
        <f>'תקציב מפורט לספר '!AK451</f>
        <v>10700000</v>
      </c>
      <c r="AL10" s="119">
        <f>'תקציב מפורט לספר '!AL451</f>
        <v>19707000</v>
      </c>
      <c r="AM10" s="119">
        <f>'תקציב מפורט לספר '!AM451</f>
        <v>4744000</v>
      </c>
      <c r="AN10" s="119">
        <f>'תקציב מפורט לספר '!AN451</f>
        <v>43600000</v>
      </c>
      <c r="AO10" s="52">
        <f>'תקציב מפורט לספר '!AO451</f>
        <v>0</v>
      </c>
      <c r="AP10" s="52">
        <f>'תקציב מפורט לספר '!AP451</f>
        <v>0</v>
      </c>
      <c r="AQ10" s="52">
        <f>'תקציב מפורט לספר '!AQ451</f>
        <v>0</v>
      </c>
      <c r="AR10" s="52">
        <f>'תקציב מפורט לספר '!AR451</f>
        <v>0</v>
      </c>
      <c r="AS10" s="52">
        <f>'תקציב מפורט לספר '!AS451</f>
        <v>0</v>
      </c>
      <c r="AT10" s="52">
        <f>'תקציב מפורט לספר '!AT451</f>
        <v>0</v>
      </c>
      <c r="AU10" s="52">
        <f>'תקציב מפורט לספר '!AU451</f>
        <v>0</v>
      </c>
      <c r="AV10" s="52">
        <f>'תקציב מפורט לספר '!AV451</f>
        <v>0</v>
      </c>
      <c r="AW10" s="52">
        <f>'תקציב מפורט לספר '!AW451</f>
        <v>0</v>
      </c>
      <c r="AX10" s="52">
        <f>'תקציב מפורט לספר '!AX451</f>
        <v>0</v>
      </c>
      <c r="AY10" s="52">
        <f>'תקציב מפורט לספר '!AY451</f>
        <v>0</v>
      </c>
      <c r="AZ10" s="52">
        <f>'תקציב מפורט לספר '!AZ451</f>
        <v>0</v>
      </c>
      <c r="BA10" s="52">
        <f>'תקציב מפורט לספר '!BA451</f>
        <v>0</v>
      </c>
      <c r="BB10" s="52">
        <f>'תקציב מפורט לספר '!BB451</f>
        <v>0</v>
      </c>
      <c r="BC10" s="52">
        <f>'תקציב מפורט לספר '!BC451</f>
        <v>0</v>
      </c>
    </row>
    <row r="11" spans="5:56" ht="60" customHeight="1" x14ac:dyDescent="0.2">
      <c r="E11" s="138">
        <v>8</v>
      </c>
      <c r="F11" s="114" t="s">
        <v>247</v>
      </c>
      <c r="G11" s="115" t="e">
        <f>+#REF!+#REF!+#REF!</f>
        <v>#REF!</v>
      </c>
      <c r="H11" s="116" t="e">
        <f>+#REF!+#REF!+#REF!</f>
        <v>#REF!</v>
      </c>
      <c r="I11" s="115" t="e">
        <f>+#REF!+#REF!+#REF!</f>
        <v>#REF!</v>
      </c>
      <c r="J11" s="117" t="e">
        <f>+#REF!+#REF!+#REF!</f>
        <v>#REF!</v>
      </c>
      <c r="K11" s="115" t="e">
        <f>+#REF!+#REF!+#REF!</f>
        <v>#REF!</v>
      </c>
      <c r="L11" s="117" t="e">
        <f>+#REF!+#REF!+#REF!</f>
        <v>#REF!</v>
      </c>
      <c r="M11" s="115" t="e">
        <f>+#REF!+#REF!+#REF!</f>
        <v>#REF!</v>
      </c>
      <c r="N11" s="117" t="e">
        <f>+#REF!+#REF!+#REF!</f>
        <v>#REF!</v>
      </c>
      <c r="O11" s="115" t="e">
        <f>+#REF!+#REF!+#REF!</f>
        <v>#REF!</v>
      </c>
      <c r="P11" s="117" t="e">
        <f>+#REF!+#REF!+#REF!</f>
        <v>#REF!</v>
      </c>
      <c r="Q11" s="115" t="e">
        <f>+#REF!+#REF!+#REF!</f>
        <v>#REF!</v>
      </c>
      <c r="R11" s="117" t="e">
        <f>+#REF!+#REF!+#REF!</f>
        <v>#REF!</v>
      </c>
      <c r="S11" s="118" t="e">
        <f>+#REF!+#REF!+#REF!</f>
        <v>#REF!</v>
      </c>
      <c r="T11" s="120" t="e">
        <f>+#REF!+#REF!+#REF!</f>
        <v>#REF!</v>
      </c>
      <c r="U11" s="116" t="e">
        <f>+#REF!+#REF!+#REF!</f>
        <v>#REF!</v>
      </c>
      <c r="V11" s="119">
        <f>'תקציב מפורט לספר '!V518</f>
        <v>628261000</v>
      </c>
      <c r="W11" s="119">
        <f>'תקציב מפורט לספר '!W518</f>
        <v>499861000</v>
      </c>
      <c r="X11" s="119">
        <f>'תקציב מפורט לספר '!X518</f>
        <v>459078000</v>
      </c>
      <c r="Y11" s="119">
        <f>'תקציב מפורט לספר '!Y518</f>
        <v>11340000</v>
      </c>
      <c r="Z11" s="119">
        <f>'תקציב מפורט לספר '!Z518</f>
        <v>0</v>
      </c>
      <c r="AA11" s="119">
        <f>'תקציב מפורט לספר '!AA518</f>
        <v>4000000</v>
      </c>
      <c r="AB11" s="119">
        <f>'תקציב מפורט לספר '!AB518</f>
        <v>25443000</v>
      </c>
      <c r="AC11" s="119">
        <f>'תקציב מפורט לספר '!AC518</f>
        <v>128400000</v>
      </c>
      <c r="AD11" s="119">
        <f>'תקציב מפורט לספר '!AD518</f>
        <v>77375000</v>
      </c>
      <c r="AE11" s="119">
        <f>'תקציב מפורט לספר '!AE518</f>
        <v>8445000</v>
      </c>
      <c r="AF11" s="119">
        <f>'תקציב מפורט לספר '!AF518</f>
        <v>0</v>
      </c>
      <c r="AG11" s="119">
        <f>'תקציב מפורט לספר '!AG518</f>
        <v>2500000</v>
      </c>
      <c r="AH11" s="119">
        <f>'תקציב מפורט לספר '!AH518</f>
        <v>40080000</v>
      </c>
      <c r="AI11" s="119">
        <f>'תקציב מפורט לספר '!AI518</f>
        <v>536453000</v>
      </c>
      <c r="AJ11" s="119">
        <f>'תקציב מפורט לספר '!AJ518</f>
        <v>19785000</v>
      </c>
      <c r="AK11" s="119">
        <f>'תקציב מפורט לספר '!AK518</f>
        <v>0</v>
      </c>
      <c r="AL11" s="119">
        <f>'תקציב מפורט לספר '!AL518</f>
        <v>6500000</v>
      </c>
      <c r="AM11" s="119">
        <f>'תקציב מפורט לספר '!AM518</f>
        <v>65523000</v>
      </c>
      <c r="AN11" s="119">
        <f>'תקציב מפורט לספר '!AN518</f>
        <v>91808000</v>
      </c>
      <c r="AO11" s="52" t="e">
        <f>'תקציב מפורט לספר '!AO518</f>
        <v>#REF!</v>
      </c>
      <c r="AP11" s="52" t="e">
        <f>'תקציב מפורט לספר '!AP518</f>
        <v>#REF!</v>
      </c>
      <c r="AQ11" s="52" t="e">
        <f>'תקציב מפורט לספר '!AQ518</f>
        <v>#REF!</v>
      </c>
      <c r="AR11" s="52" t="e">
        <f>'תקציב מפורט לספר '!AR518</f>
        <v>#REF!</v>
      </c>
      <c r="AS11" s="52" t="e">
        <f>'תקציב מפורט לספר '!AS518</f>
        <v>#REF!</v>
      </c>
      <c r="AT11" s="52" t="e">
        <f>'תקציב מפורט לספר '!AT518</f>
        <v>#REF!</v>
      </c>
      <c r="AU11" s="52" t="e">
        <f>'תקציב מפורט לספר '!AU518</f>
        <v>#REF!</v>
      </c>
      <c r="AV11" s="52" t="e">
        <f>'תקציב מפורט לספר '!AV518</f>
        <v>#REF!</v>
      </c>
      <c r="AW11" s="52" t="e">
        <f>'תקציב מפורט לספר '!AW518</f>
        <v>#REF!</v>
      </c>
      <c r="AX11" s="52">
        <f>'תקציב מפורט לספר '!AX518</f>
        <v>0</v>
      </c>
      <c r="AY11" s="52">
        <f>'תקציב מפורט לספר '!AY518</f>
        <v>0</v>
      </c>
      <c r="AZ11" s="52">
        <f>'תקציב מפורט לספר '!AZ518</f>
        <v>0</v>
      </c>
      <c r="BA11" s="52">
        <f>'תקציב מפורט לספר '!BA518</f>
        <v>0</v>
      </c>
      <c r="BB11" s="52">
        <f>'תקציב מפורט לספר '!BB518</f>
        <v>0</v>
      </c>
      <c r="BC11" s="52">
        <f>'תקציב מפורט לספר '!BC518</f>
        <v>0</v>
      </c>
    </row>
    <row r="12" spans="5:56" ht="60" customHeight="1" x14ac:dyDescent="0.2">
      <c r="E12" s="138">
        <v>9</v>
      </c>
      <c r="F12" s="114" t="s">
        <v>256</v>
      </c>
      <c r="G12" s="115" t="e">
        <f>#REF!+#REF!+#REF!</f>
        <v>#REF!</v>
      </c>
      <c r="H12" s="116" t="e">
        <f>#REF!+#REF!+#REF!</f>
        <v>#REF!</v>
      </c>
      <c r="I12" s="115" t="e">
        <f>#REF!+#REF!+#REF!</f>
        <v>#REF!</v>
      </c>
      <c r="J12" s="117" t="e">
        <f>#REF!+#REF!+#REF!</f>
        <v>#REF!</v>
      </c>
      <c r="K12" s="115" t="e">
        <f>#REF!+#REF!+#REF!</f>
        <v>#REF!</v>
      </c>
      <c r="L12" s="117" t="e">
        <f>#REF!+#REF!+#REF!</f>
        <v>#REF!</v>
      </c>
      <c r="M12" s="115" t="e">
        <f>#REF!+#REF!+#REF!</f>
        <v>#REF!</v>
      </c>
      <c r="N12" s="117" t="e">
        <f>#REF!+#REF!+#REF!</f>
        <v>#REF!</v>
      </c>
      <c r="O12" s="115" t="e">
        <f>#REF!+#REF!+#REF!</f>
        <v>#REF!</v>
      </c>
      <c r="P12" s="117" t="e">
        <f>#REF!+#REF!+#REF!</f>
        <v>#REF!</v>
      </c>
      <c r="Q12" s="115" t="e">
        <f>#REF!+#REF!+#REF!</f>
        <v>#REF!</v>
      </c>
      <c r="R12" s="117" t="e">
        <f>#REF!+#REF!+#REF!</f>
        <v>#REF!</v>
      </c>
      <c r="S12" s="118" t="e">
        <f>#REF!+#REF!+#REF!</f>
        <v>#REF!</v>
      </c>
      <c r="T12" s="120" t="e">
        <f>#REF!+#REF!+#REF!</f>
        <v>#REF!</v>
      </c>
      <c r="U12" s="116" t="e">
        <f>#REF!+#REF!+#REF!</f>
        <v>#REF!</v>
      </c>
      <c r="V12" s="119">
        <f>'תקציב מפורט לספר '!V528</f>
        <v>26400000</v>
      </c>
      <c r="W12" s="119">
        <f>'תקציב מפורט לספר '!W528</f>
        <v>17200000</v>
      </c>
      <c r="X12" s="119">
        <f>'תקציב מפורט לספר '!X528</f>
        <v>0</v>
      </c>
      <c r="Y12" s="119">
        <f>'תקציב מפורט לספר '!Y528</f>
        <v>700000</v>
      </c>
      <c r="Z12" s="119">
        <f>'תקציב מפורט לספר '!Z528</f>
        <v>10000000</v>
      </c>
      <c r="AA12" s="119">
        <f>'תקציב מפורט לספר '!AA528</f>
        <v>6500000</v>
      </c>
      <c r="AB12" s="119">
        <f>'תקציב מפורט לספר '!AB528</f>
        <v>0</v>
      </c>
      <c r="AC12" s="119">
        <f>'תקציב מפורט לספר '!AC528</f>
        <v>9200000</v>
      </c>
      <c r="AD12" s="119">
        <f>'תקציב מפורט לספר '!AD528</f>
        <v>0</v>
      </c>
      <c r="AE12" s="119">
        <f>'תקציב מפורט לספר '!AE528</f>
        <v>0</v>
      </c>
      <c r="AF12" s="119">
        <f>'תקציב מפורט לספר '!AF528</f>
        <v>0</v>
      </c>
      <c r="AG12" s="119">
        <f>'תקציב מפורט לספר '!AG528</f>
        <v>9200000</v>
      </c>
      <c r="AH12" s="119">
        <f>'תקציב מפורט לספר '!AH528</f>
        <v>0</v>
      </c>
      <c r="AI12" s="119">
        <f>'תקציב מפורט לספר '!AI528</f>
        <v>0</v>
      </c>
      <c r="AJ12" s="119">
        <f>'תקציב מפורט לספר '!AJ528</f>
        <v>700000</v>
      </c>
      <c r="AK12" s="119">
        <f>'תקציב מפורט לספר '!AK528</f>
        <v>10000000</v>
      </c>
      <c r="AL12" s="119">
        <f>'תקציב מפורט לספר '!AL528</f>
        <v>15700000</v>
      </c>
      <c r="AM12" s="119">
        <f>'תקציב מפורט לספר '!AM528</f>
        <v>0</v>
      </c>
      <c r="AN12" s="119" t="e">
        <f>'תקציב מפורט לספר '!AN528</f>
        <v>#REF!</v>
      </c>
      <c r="AO12" s="52" t="e">
        <f>'תקציב מפורט לספר '!AO528</f>
        <v>#REF!</v>
      </c>
      <c r="AP12" s="52" t="e">
        <f>'תקציב מפורט לספר '!AP528</f>
        <v>#REF!</v>
      </c>
      <c r="AQ12" s="52" t="e">
        <f>'תקציב מפורט לספר '!AQ528</f>
        <v>#REF!</v>
      </c>
      <c r="AR12" s="52" t="e">
        <f>'תקציב מפורט לספר '!AR528</f>
        <v>#REF!</v>
      </c>
      <c r="AS12" s="52" t="e">
        <f>'תקציב מפורט לספר '!AS528</f>
        <v>#REF!</v>
      </c>
      <c r="AT12" s="52" t="e">
        <f>'תקציב מפורט לספר '!AT528</f>
        <v>#REF!</v>
      </c>
      <c r="AU12" s="52" t="e">
        <f>'תקציב מפורט לספר '!AU528</f>
        <v>#REF!</v>
      </c>
      <c r="AV12" s="52" t="e">
        <f>'תקציב מפורט לספר '!AV528</f>
        <v>#REF!</v>
      </c>
      <c r="AW12" s="52" t="e">
        <f>'תקציב מפורט לספר '!AW528</f>
        <v>#REF!</v>
      </c>
      <c r="AX12" s="52">
        <f>'תקציב מפורט לספר '!AX528</f>
        <v>0</v>
      </c>
      <c r="AY12" s="52">
        <f>'תקציב מפורט לספר '!AY528</f>
        <v>0</v>
      </c>
      <c r="AZ12" s="52">
        <f>'תקציב מפורט לספר '!AZ528</f>
        <v>0</v>
      </c>
      <c r="BA12" s="52">
        <f>'תקציב מפורט לספר '!BA528</f>
        <v>0</v>
      </c>
      <c r="BB12" s="52">
        <f>'תקציב מפורט לספר '!BB528</f>
        <v>0</v>
      </c>
      <c r="BC12" s="52">
        <f>'תקציב מפורט לספר '!BC528</f>
        <v>0</v>
      </c>
    </row>
    <row r="13" spans="5:56" ht="60" customHeight="1" thickBot="1" x14ac:dyDescent="0.25">
      <c r="E13" s="139"/>
      <c r="F13" s="140" t="s">
        <v>257</v>
      </c>
      <c r="G13" s="141" t="e">
        <f t="shared" ref="G13:U13" si="0">G12+G11+G10+G9+G8+G7+G6+G5+G4</f>
        <v>#REF!</v>
      </c>
      <c r="H13" s="142" t="e">
        <f t="shared" si="0"/>
        <v>#REF!</v>
      </c>
      <c r="I13" s="141" t="e">
        <f t="shared" si="0"/>
        <v>#REF!</v>
      </c>
      <c r="J13" s="143" t="e">
        <f t="shared" si="0"/>
        <v>#REF!</v>
      </c>
      <c r="K13" s="141" t="e">
        <f t="shared" si="0"/>
        <v>#REF!</v>
      </c>
      <c r="L13" s="143" t="e">
        <f t="shared" si="0"/>
        <v>#REF!</v>
      </c>
      <c r="M13" s="141" t="e">
        <f t="shared" si="0"/>
        <v>#REF!</v>
      </c>
      <c r="N13" s="143" t="e">
        <f t="shared" si="0"/>
        <v>#REF!</v>
      </c>
      <c r="O13" s="141" t="e">
        <f t="shared" si="0"/>
        <v>#REF!</v>
      </c>
      <c r="P13" s="143" t="e">
        <f t="shared" si="0"/>
        <v>#REF!</v>
      </c>
      <c r="Q13" s="141" t="e">
        <f t="shared" si="0"/>
        <v>#REF!</v>
      </c>
      <c r="R13" s="143" t="e">
        <f t="shared" si="0"/>
        <v>#REF!</v>
      </c>
      <c r="S13" s="144" t="e">
        <f t="shared" si="0"/>
        <v>#REF!</v>
      </c>
      <c r="T13" s="145" t="e">
        <f t="shared" si="0"/>
        <v>#REF!</v>
      </c>
      <c r="U13" s="142" t="e">
        <f t="shared" si="0"/>
        <v>#REF!</v>
      </c>
      <c r="V13" s="146">
        <f>'תקציב מפורט לספר '!V529</f>
        <v>1501821000</v>
      </c>
      <c r="W13" s="146">
        <f>'תקציב מפורט לספר '!W529</f>
        <v>931740000</v>
      </c>
      <c r="X13" s="146">
        <f>'תקציב מפורט לספר '!X529</f>
        <v>554409000</v>
      </c>
      <c r="Y13" s="146">
        <f>'תקציב מפורט לספר '!Y529</f>
        <v>95320000</v>
      </c>
      <c r="Z13" s="146">
        <f>'תקציב מפורט לספר '!Z529</f>
        <v>78005000</v>
      </c>
      <c r="AA13" s="146">
        <f>'תקציב מפורט לספר '!AA529</f>
        <v>148131500</v>
      </c>
      <c r="AB13" s="146">
        <f>'תקציב מפורט לספר '!AB529</f>
        <v>55874500</v>
      </c>
      <c r="AC13" s="146">
        <f>'תקציב מפורט לספר '!AC529</f>
        <v>570081000</v>
      </c>
      <c r="AD13" s="146">
        <f>'תקציב מפורט לספר '!AD529</f>
        <v>88785000</v>
      </c>
      <c r="AE13" s="146">
        <f>'תקציב מפורט לספר '!AE529</f>
        <v>140923000</v>
      </c>
      <c r="AF13" s="146">
        <f>'תקציב מפורט לספר '!AF529</f>
        <v>159472000</v>
      </c>
      <c r="AG13" s="146">
        <f>'תקציב מפורט לספר '!AG529</f>
        <v>102156500</v>
      </c>
      <c r="AH13" s="146">
        <f>'תקציב מפורט לספר '!AH529</f>
        <v>78744500</v>
      </c>
      <c r="AI13" s="124">
        <f>'תקציב מפורט לספר '!AI529</f>
        <v>643194000</v>
      </c>
      <c r="AJ13" s="124">
        <f>'תקציב מפורט לספר '!AJ529</f>
        <v>236243000</v>
      </c>
      <c r="AK13" s="124">
        <f>'תקציב מפורט לספר '!AK529</f>
        <v>237477000</v>
      </c>
      <c r="AL13" s="124">
        <f>'תקציב מפורט לספר '!AL529</f>
        <v>250288000</v>
      </c>
      <c r="AM13" s="124">
        <f>'תקציב מפורט לספר '!AM529</f>
        <v>134619000</v>
      </c>
      <c r="AN13" s="124" t="e">
        <f>'תקציב מפורט לספר '!AN529</f>
        <v>#REF!</v>
      </c>
      <c r="AO13" s="52" t="e">
        <f>'תקציב מפורט לספר '!AO529</f>
        <v>#REF!</v>
      </c>
      <c r="AP13" s="52" t="e">
        <f>'תקציב מפורט לספר '!AP529</f>
        <v>#REF!</v>
      </c>
      <c r="AQ13" s="52" t="e">
        <f>'תקציב מפורט לספר '!AQ529</f>
        <v>#REF!</v>
      </c>
      <c r="AR13" s="52" t="e">
        <f>'תקציב מפורט לספר '!AR529</f>
        <v>#REF!</v>
      </c>
      <c r="AS13" s="52" t="e">
        <f>'תקציב מפורט לספר '!AS529</f>
        <v>#REF!</v>
      </c>
      <c r="AT13" s="52" t="e">
        <f>'תקציב מפורט לספר '!AT529</f>
        <v>#REF!</v>
      </c>
      <c r="AU13" s="52" t="e">
        <f>'תקציב מפורט לספר '!AU529</f>
        <v>#REF!</v>
      </c>
      <c r="AV13" s="52" t="e">
        <f>'תקציב מפורט לספר '!AV529</f>
        <v>#REF!</v>
      </c>
      <c r="AW13" s="52" t="e">
        <f>'תקציב מפורט לספר '!AW529</f>
        <v>#REF!</v>
      </c>
      <c r="AX13" s="52">
        <f>'תקציב מפורט לספר '!AX529</f>
        <v>0</v>
      </c>
      <c r="AY13" s="52">
        <f>'תקציב מפורט לספר '!AY529</f>
        <v>0</v>
      </c>
      <c r="AZ13" s="52">
        <f>'תקציב מפורט לספר '!AZ529</f>
        <v>0</v>
      </c>
      <c r="BA13" s="52">
        <f>'תקציב מפורט לספר '!BA529</f>
        <v>0</v>
      </c>
      <c r="BB13" s="52">
        <f>'תקציב מפורט לספר '!BB529</f>
        <v>0</v>
      </c>
      <c r="BC13" s="52">
        <f>'תקציב מפורט לספר '!BC529</f>
        <v>0</v>
      </c>
    </row>
    <row r="14" spans="5:56" ht="26.25" x14ac:dyDescent="0.2">
      <c r="E14" s="17"/>
      <c r="F14" s="18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</row>
    <row r="15" spans="5:56" ht="26.25" x14ac:dyDescent="0.2">
      <c r="E15" s="17"/>
      <c r="F15" s="18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19"/>
      <c r="AJ15" s="19"/>
      <c r="AK15" s="19"/>
      <c r="AL15" s="19"/>
      <c r="AM15" s="19"/>
      <c r="AN15" s="19"/>
      <c r="AO15" s="19"/>
      <c r="AP15" s="30"/>
      <c r="AQ15" s="19"/>
      <c r="AR15" s="19"/>
      <c r="AS15" s="19"/>
      <c r="AT15" s="19"/>
      <c r="AU15" s="19"/>
      <c r="AV15" s="19"/>
    </row>
    <row r="16" spans="5:56" ht="30.75" x14ac:dyDescent="0.2">
      <c r="E16" s="17"/>
      <c r="F16" s="18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20"/>
      <c r="AQ16" s="19"/>
      <c r="AR16" s="19"/>
      <c r="AS16" s="19"/>
      <c r="AT16" s="19"/>
      <c r="AU16" s="19"/>
      <c r="AV16" s="19"/>
    </row>
    <row r="17" spans="5:48" ht="26.25" x14ac:dyDescent="0.2">
      <c r="E17" s="21"/>
      <c r="F17" s="31"/>
      <c r="G17" s="22"/>
      <c r="H17" s="22"/>
      <c r="I17" s="22"/>
      <c r="J17" s="22"/>
      <c r="K17" s="29"/>
      <c r="L17" s="29"/>
      <c r="M17" s="29"/>
      <c r="N17" s="29"/>
      <c r="O17" s="29"/>
      <c r="P17" s="29"/>
      <c r="Q17" s="29"/>
      <c r="R17" s="29"/>
      <c r="S17" s="22"/>
      <c r="T17" s="22"/>
      <c r="U17" s="29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9"/>
      <c r="AJ17" s="22"/>
      <c r="AK17" s="29"/>
      <c r="AL17" s="22"/>
      <c r="AM17" s="29"/>
      <c r="AN17" s="23"/>
      <c r="AO17" s="23"/>
      <c r="AP17" s="22"/>
      <c r="AQ17" s="22"/>
      <c r="AR17" s="22"/>
      <c r="AS17" s="22"/>
      <c r="AT17" s="22"/>
      <c r="AU17" s="22"/>
      <c r="AV17" s="22"/>
    </row>
    <row r="18" spans="5:48" ht="26.25" x14ac:dyDescent="0.2">
      <c r="E18" s="21"/>
      <c r="F18" s="31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9"/>
      <c r="AC18" s="22"/>
      <c r="AD18" s="29"/>
      <c r="AE18" s="22"/>
      <c r="AF18" s="22"/>
      <c r="AG18" s="22"/>
      <c r="AH18" s="23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</row>
    <row r="19" spans="5:48" ht="26.25" x14ac:dyDescent="0.2">
      <c r="E19" s="21"/>
      <c r="F19" s="31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9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</row>
    <row r="20" spans="5:48" ht="26.25" x14ac:dyDescent="0.2">
      <c r="E20" s="24"/>
      <c r="F20" s="32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</row>
    <row r="21" spans="5:48" ht="26.25" x14ac:dyDescent="0.2">
      <c r="E21" s="24"/>
      <c r="F21" s="32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</row>
    <row r="22" spans="5:48" ht="26.25" x14ac:dyDescent="0.35">
      <c r="E22" s="25"/>
      <c r="F22" s="33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3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</row>
    <row r="23" spans="5:48" ht="26.25" x14ac:dyDescent="0.35">
      <c r="E23" s="25"/>
      <c r="F23" s="33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3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</row>
    <row r="24" spans="5:48" ht="26.25" x14ac:dyDescent="0.35">
      <c r="E24" s="25"/>
      <c r="F24" s="33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3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</row>
    <row r="25" spans="5:48" ht="26.25" x14ac:dyDescent="0.35">
      <c r="E25" s="25"/>
      <c r="F25" s="33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3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</row>
    <row r="26" spans="5:48" ht="26.25" x14ac:dyDescent="0.35">
      <c r="E26" s="25"/>
      <c r="F26" s="33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3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</row>
    <row r="27" spans="5:48" ht="23.25" x14ac:dyDescent="0.35">
      <c r="E27" s="25"/>
      <c r="F27" s="33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</row>
    <row r="28" spans="5:48" ht="23.25" x14ac:dyDescent="0.35">
      <c r="E28" s="25"/>
      <c r="F28" s="33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</row>
    <row r="29" spans="5:48" ht="23.25" x14ac:dyDescent="0.35">
      <c r="E29" s="25"/>
      <c r="F29" s="33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</row>
    <row r="30" spans="5:48" ht="23.25" x14ac:dyDescent="0.35">
      <c r="E30" s="25"/>
      <c r="F30" s="33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</row>
    <row r="31" spans="5:48" ht="23.25" x14ac:dyDescent="0.35">
      <c r="E31" s="25"/>
      <c r="F31" s="33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</row>
    <row r="32" spans="5:48" ht="23.25" x14ac:dyDescent="0.35">
      <c r="E32" s="25"/>
      <c r="F32" s="33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</row>
    <row r="33" spans="5:48" ht="23.25" x14ac:dyDescent="0.35">
      <c r="E33" s="25"/>
      <c r="F33" s="33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</row>
    <row r="34" spans="5:48" ht="23.25" x14ac:dyDescent="0.35">
      <c r="E34" s="25"/>
      <c r="F34" s="33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</row>
    <row r="35" spans="5:48" ht="23.25" x14ac:dyDescent="0.35">
      <c r="E35" s="25"/>
      <c r="F35" s="33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</row>
    <row r="36" spans="5:48" ht="23.25" x14ac:dyDescent="0.35">
      <c r="E36" s="25"/>
      <c r="F36" s="33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</row>
    <row r="37" spans="5:48" ht="23.25" x14ac:dyDescent="0.35">
      <c r="E37" s="25"/>
      <c r="F37" s="33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</row>
    <row r="38" spans="5:48" ht="23.25" x14ac:dyDescent="0.35">
      <c r="E38" s="25"/>
      <c r="F38" s="33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</row>
    <row r="39" spans="5:48" ht="23.25" x14ac:dyDescent="0.35">
      <c r="E39" s="25"/>
      <c r="F39" s="33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</row>
    <row r="352" spans="3:3" x14ac:dyDescent="0.2">
      <c r="C352">
        <v>0</v>
      </c>
    </row>
  </sheetData>
  <mergeCells count="1">
    <mergeCell ref="AQ2:AV2"/>
  </mergeCells>
  <pageMargins left="0.70866141732283472" right="0.70866141732283472" top="0.74803149606299213" bottom="0.74803149606299213" header="0.31496062992125984" footer="0.31496062992125984"/>
  <pageSetup paperSize="9" scale="40" fitToHeight="11" orientation="landscape" r:id="rId1"/>
  <headerFooter>
    <oddFooter xml:space="preserve">&amp;C&amp;"-,מודגש"&amp;22&amp;P+2&amp;18
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D388"/>
  <sheetViews>
    <sheetView showZeros="0" rightToLeft="1" topLeftCell="E1" zoomScale="45" zoomScaleNormal="45" workbookViewId="0">
      <pane xSplit="2" ySplit="3" topLeftCell="G4" activePane="bottomRight" state="frozen"/>
      <selection activeCell="E1" sqref="E1"/>
      <selection pane="topRight" activeCell="H1" sqref="H1"/>
      <selection pane="bottomLeft" activeCell="E9" sqref="E9"/>
      <selection pane="bottomRight" activeCell="BF40" sqref="BF40"/>
    </sheetView>
  </sheetViews>
  <sheetFormatPr defaultRowHeight="27" x14ac:dyDescent="0.2"/>
  <cols>
    <col min="3" max="3" width="2" bestFit="1" customWidth="1"/>
    <col min="5" max="5" width="21.25" bestFit="1" customWidth="1"/>
    <col min="6" max="6" width="56.875" style="73" customWidth="1"/>
    <col min="7" max="7" width="20.875" style="28" hidden="1" customWidth="1"/>
    <col min="8" max="8" width="23.375" style="28" hidden="1" customWidth="1"/>
    <col min="9" max="9" width="20.875" style="28" hidden="1" customWidth="1"/>
    <col min="10" max="10" width="0.5" style="28" hidden="1" customWidth="1"/>
    <col min="11" max="11" width="24.5" style="28" hidden="1" customWidth="1"/>
    <col min="12" max="12" width="21.25" style="28" hidden="1" customWidth="1"/>
    <col min="13" max="13" width="20.25" style="28" hidden="1" customWidth="1"/>
    <col min="14" max="14" width="23.25" style="28" hidden="1" customWidth="1"/>
    <col min="15" max="15" width="22.75" style="28" hidden="1" customWidth="1"/>
    <col min="16" max="16" width="18" style="28" hidden="1" customWidth="1"/>
    <col min="17" max="17" width="22" style="28" hidden="1" customWidth="1"/>
    <col min="18" max="18" width="25.5" style="28" hidden="1" customWidth="1"/>
    <col min="19" max="19" width="25.5" hidden="1" customWidth="1"/>
    <col min="20" max="20" width="17.5" hidden="1" customWidth="1"/>
    <col min="21" max="21" width="34" hidden="1" customWidth="1"/>
    <col min="22" max="22" width="31.875" hidden="1" customWidth="1"/>
    <col min="23" max="23" width="28.875" customWidth="1"/>
    <col min="24" max="24" width="20" customWidth="1"/>
    <col min="25" max="25" width="18.75" customWidth="1"/>
    <col min="26" max="26" width="18.625" customWidth="1"/>
    <col min="27" max="27" width="20.625" customWidth="1"/>
    <col min="28" max="28" width="23.5" bestFit="1" customWidth="1"/>
    <col min="29" max="29" width="20.5" customWidth="1"/>
    <col min="30" max="30" width="18.5" customWidth="1"/>
    <col min="31" max="31" width="23.5" bestFit="1" customWidth="1"/>
    <col min="32" max="32" width="20.375" customWidth="1"/>
    <col min="33" max="33" width="19.625" customWidth="1"/>
    <col min="34" max="34" width="19.75" customWidth="1"/>
    <col min="35" max="39" width="24.75" hidden="1" customWidth="1"/>
    <col min="40" max="40" width="28.5" hidden="1" customWidth="1"/>
    <col min="41" max="41" width="11.5" hidden="1" customWidth="1"/>
    <col min="42" max="42" width="5" style="27" hidden="1" customWidth="1"/>
    <col min="43" max="43" width="9.5" hidden="1" customWidth="1"/>
    <col min="44" max="44" width="11" hidden="1" customWidth="1"/>
    <col min="45" max="45" width="8.5" hidden="1" customWidth="1"/>
    <col min="46" max="46" width="9.5" hidden="1" customWidth="1"/>
    <col min="47" max="47" width="10.5" hidden="1" customWidth="1"/>
    <col min="48" max="48" width="16.5" hidden="1" customWidth="1"/>
    <col min="49" max="49" width="19" hidden="1" customWidth="1"/>
    <col min="50" max="50" width="17.5" hidden="1" customWidth="1"/>
    <col min="51" max="51" width="2.75" hidden="1" customWidth="1"/>
    <col min="52" max="52" width="1.625" hidden="1" customWidth="1"/>
    <col min="53" max="53" width="9" hidden="1" customWidth="1"/>
    <col min="54" max="54" width="11.125" hidden="1" customWidth="1"/>
    <col min="55" max="55" width="12.125" hidden="1" customWidth="1"/>
    <col min="56" max="56" width="16.875" bestFit="1" customWidth="1"/>
  </cols>
  <sheetData>
    <row r="1" spans="5:51" ht="52.5" hidden="1" customHeight="1" thickBot="1" x14ac:dyDescent="0.25">
      <c r="E1" s="126" t="s">
        <v>0</v>
      </c>
      <c r="F1" s="91" t="s">
        <v>556</v>
      </c>
      <c r="G1" s="93" t="s">
        <v>275</v>
      </c>
      <c r="H1" s="94" t="s">
        <v>557</v>
      </c>
      <c r="I1" s="93" t="s">
        <v>296</v>
      </c>
      <c r="J1" s="94" t="s">
        <v>558</v>
      </c>
      <c r="K1" s="93" t="s">
        <v>310</v>
      </c>
      <c r="L1" s="94" t="s">
        <v>559</v>
      </c>
      <c r="M1" s="93" t="s">
        <v>339</v>
      </c>
      <c r="N1" s="94" t="s">
        <v>560</v>
      </c>
      <c r="O1" s="93" t="s">
        <v>389</v>
      </c>
      <c r="P1" s="94" t="s">
        <v>561</v>
      </c>
      <c r="Q1" s="93" t="s">
        <v>562</v>
      </c>
      <c r="R1" s="94" t="s">
        <v>563</v>
      </c>
      <c r="S1" s="95" t="s">
        <v>384</v>
      </c>
      <c r="T1" s="95" t="s">
        <v>564</v>
      </c>
      <c r="U1" s="94" t="s">
        <v>565</v>
      </c>
      <c r="V1" s="96" t="s">
        <v>383</v>
      </c>
      <c r="W1" s="93" t="s">
        <v>555</v>
      </c>
      <c r="X1" s="95" t="s">
        <v>566</v>
      </c>
      <c r="Y1" s="95" t="s">
        <v>567</v>
      </c>
      <c r="Z1" s="95" t="s">
        <v>568</v>
      </c>
      <c r="AA1" s="95" t="s">
        <v>569</v>
      </c>
      <c r="AB1" s="94" t="s">
        <v>570</v>
      </c>
      <c r="AC1" s="93" t="s">
        <v>546</v>
      </c>
      <c r="AD1" s="95" t="s">
        <v>571</v>
      </c>
      <c r="AE1" s="95" t="s">
        <v>572</v>
      </c>
      <c r="AF1" s="95" t="s">
        <v>573</v>
      </c>
      <c r="AG1" s="95" t="s">
        <v>574</v>
      </c>
      <c r="AH1" s="94" t="s">
        <v>575</v>
      </c>
      <c r="AI1" s="93" t="s">
        <v>388</v>
      </c>
      <c r="AJ1" s="95" t="s">
        <v>576</v>
      </c>
      <c r="AK1" s="95" t="s">
        <v>577</v>
      </c>
      <c r="AL1" s="95" t="s">
        <v>578</v>
      </c>
      <c r="AM1" s="94" t="s">
        <v>579</v>
      </c>
      <c r="AN1" s="100" t="s">
        <v>5</v>
      </c>
      <c r="AO1" s="1"/>
      <c r="AP1" s="1"/>
      <c r="AQ1" s="1"/>
      <c r="AR1" s="1"/>
      <c r="AS1" s="1"/>
      <c r="AT1" s="1"/>
      <c r="AU1" s="1"/>
      <c r="AV1" s="2"/>
    </row>
    <row r="2" spans="5:51" ht="1.5" customHeight="1" thickBot="1" x14ac:dyDescent="0.25">
      <c r="E2" s="126" t="s">
        <v>1</v>
      </c>
      <c r="F2" s="127" t="s">
        <v>2</v>
      </c>
      <c r="G2" s="104"/>
      <c r="H2" s="104"/>
      <c r="I2" s="103"/>
      <c r="J2" s="105"/>
      <c r="K2" s="103"/>
      <c r="L2" s="105"/>
      <c r="M2" s="103"/>
      <c r="N2" s="105"/>
      <c r="O2" s="103"/>
      <c r="P2" s="105"/>
      <c r="Q2" s="103"/>
      <c r="R2" s="105"/>
      <c r="S2" s="128"/>
      <c r="T2" s="128"/>
      <c r="U2" s="128"/>
      <c r="V2" s="129"/>
      <c r="W2" s="129"/>
      <c r="X2" s="129"/>
      <c r="Y2" s="129"/>
      <c r="Z2" s="129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30"/>
      <c r="AO2" s="4"/>
      <c r="AP2" s="5"/>
      <c r="AQ2" s="81" t="s">
        <v>3</v>
      </c>
      <c r="AR2" s="82"/>
      <c r="AS2" s="82"/>
      <c r="AT2" s="82"/>
      <c r="AU2" s="82"/>
      <c r="AV2" s="83"/>
    </row>
    <row r="3" spans="5:51" ht="183" customHeight="1" thickBot="1" x14ac:dyDescent="0.25">
      <c r="E3" s="184" t="s">
        <v>581</v>
      </c>
      <c r="F3" s="154" t="s">
        <v>2</v>
      </c>
      <c r="G3" s="185" t="s">
        <v>275</v>
      </c>
      <c r="H3" s="186" t="s">
        <v>295</v>
      </c>
      <c r="I3" s="187" t="s">
        <v>296</v>
      </c>
      <c r="J3" s="188" t="s">
        <v>311</v>
      </c>
      <c r="K3" s="187" t="s">
        <v>310</v>
      </c>
      <c r="L3" s="188" t="s">
        <v>338</v>
      </c>
      <c r="M3" s="187" t="s">
        <v>339</v>
      </c>
      <c r="N3" s="188" t="s">
        <v>340</v>
      </c>
      <c r="O3" s="187" t="s">
        <v>532</v>
      </c>
      <c r="P3" s="188" t="s">
        <v>533</v>
      </c>
      <c r="Q3" s="187" t="s">
        <v>415</v>
      </c>
      <c r="R3" s="188" t="s">
        <v>414</v>
      </c>
      <c r="S3" s="189" t="s">
        <v>385</v>
      </c>
      <c r="T3" s="154" t="s">
        <v>4</v>
      </c>
      <c r="U3" s="190" t="s">
        <v>386</v>
      </c>
      <c r="V3" s="191" t="s">
        <v>387</v>
      </c>
      <c r="W3" s="192" t="s">
        <v>554</v>
      </c>
      <c r="X3" s="193" t="s">
        <v>4</v>
      </c>
      <c r="Y3" s="194" t="s">
        <v>6</v>
      </c>
      <c r="Z3" s="194" t="s">
        <v>7</v>
      </c>
      <c r="AA3" s="194" t="s">
        <v>8</v>
      </c>
      <c r="AB3" s="195" t="s">
        <v>9</v>
      </c>
      <c r="AC3" s="192" t="s">
        <v>546</v>
      </c>
      <c r="AD3" s="193" t="s">
        <v>4</v>
      </c>
      <c r="AE3" s="194" t="s">
        <v>6</v>
      </c>
      <c r="AF3" s="194" t="s">
        <v>7</v>
      </c>
      <c r="AG3" s="194" t="s">
        <v>8</v>
      </c>
      <c r="AH3" s="196" t="s">
        <v>9</v>
      </c>
      <c r="AI3" s="110" t="s">
        <v>4</v>
      </c>
      <c r="AJ3" s="111" t="s">
        <v>6</v>
      </c>
      <c r="AK3" s="112" t="s">
        <v>7</v>
      </c>
      <c r="AL3" s="112" t="s">
        <v>8</v>
      </c>
      <c r="AM3" s="113" t="s">
        <v>9</v>
      </c>
      <c r="AN3" s="109" t="s">
        <v>5</v>
      </c>
      <c r="AO3" s="55" t="s">
        <v>10</v>
      </c>
      <c r="AP3" s="6" t="s">
        <v>11</v>
      </c>
      <c r="AQ3" s="6" t="s">
        <v>4</v>
      </c>
      <c r="AR3" s="6" t="s">
        <v>6</v>
      </c>
      <c r="AS3" s="7" t="s">
        <v>7</v>
      </c>
      <c r="AT3" s="7" t="s">
        <v>8</v>
      </c>
      <c r="AU3" s="8" t="s">
        <v>9</v>
      </c>
      <c r="AV3" s="6" t="s">
        <v>5</v>
      </c>
    </row>
    <row r="4" spans="5:51" ht="60" customHeight="1" x14ac:dyDescent="0.2">
      <c r="E4" s="147">
        <v>1</v>
      </c>
      <c r="F4" s="148" t="s">
        <v>16</v>
      </c>
      <c r="G4" s="136" t="e">
        <f>SUM(#REF!)</f>
        <v>#REF!</v>
      </c>
      <c r="H4" s="134" t="e">
        <f>SUM(#REF!)</f>
        <v>#REF!</v>
      </c>
      <c r="I4" s="133" t="e">
        <f>SUM(#REF!)</f>
        <v>#REF!</v>
      </c>
      <c r="J4" s="135" t="e">
        <f>SUM(#REF!)</f>
        <v>#REF!</v>
      </c>
      <c r="K4" s="133" t="e">
        <f>SUM(#REF!)</f>
        <v>#REF!</v>
      </c>
      <c r="L4" s="135" t="e">
        <f>SUM(#REF!)</f>
        <v>#REF!</v>
      </c>
      <c r="M4" s="133" t="e">
        <f>SUM(#REF!)</f>
        <v>#REF!</v>
      </c>
      <c r="N4" s="135" t="e">
        <f>SUM(#REF!)</f>
        <v>#REF!</v>
      </c>
      <c r="O4" s="133" t="e">
        <f>SUM(#REF!)</f>
        <v>#REF!</v>
      </c>
      <c r="P4" s="135" t="e">
        <f>SUM(#REF!)</f>
        <v>#REF!</v>
      </c>
      <c r="Q4" s="133" t="e">
        <f>SUM(#REF!)</f>
        <v>#REF!</v>
      </c>
      <c r="R4" s="135" t="e">
        <f>SUM(#REF!)</f>
        <v>#REF!</v>
      </c>
      <c r="S4" s="136" t="e">
        <f>SUM(#REF!)</f>
        <v>#REF!</v>
      </c>
      <c r="T4" s="136" t="e">
        <f>SUM(#REF!)</f>
        <v>#REF!</v>
      </c>
      <c r="U4" s="136" t="e">
        <f>SUM(#REF!)</f>
        <v>#REF!</v>
      </c>
      <c r="V4" s="137" t="e">
        <f>SUM(#REF!)</f>
        <v>#REF!</v>
      </c>
      <c r="W4" s="133">
        <f>'תקציב מפורט לספר '!W10</f>
        <v>2089000</v>
      </c>
      <c r="X4" s="133">
        <f>'תקציב מפורט לספר '!X10</f>
        <v>0</v>
      </c>
      <c r="Y4" s="133">
        <f>'תקציב מפורט לספר '!Y10</f>
        <v>0</v>
      </c>
      <c r="Z4" s="133">
        <f>'תקציב מפורט לספר '!Z10</f>
        <v>0</v>
      </c>
      <c r="AA4" s="133">
        <f>'תקציב מפורט לספר '!AA10</f>
        <v>1489000</v>
      </c>
      <c r="AB4" s="133">
        <f>'תקציב מפורט לספר '!AB10</f>
        <v>600000</v>
      </c>
      <c r="AC4" s="133">
        <f>'תקציב מפורט לספר '!AC10</f>
        <v>5960000</v>
      </c>
      <c r="AD4" s="133">
        <f>'תקציב מפורט לספר '!AD10</f>
        <v>0</v>
      </c>
      <c r="AE4" s="133">
        <f>'תקציב מפורט לספר '!AE10</f>
        <v>0</v>
      </c>
      <c r="AF4" s="133">
        <f>'תקציב מפורט לספר '!AF10</f>
        <v>0</v>
      </c>
      <c r="AG4" s="133">
        <f>'תקציב מפורט לספר '!AG10</f>
        <v>500000</v>
      </c>
      <c r="AH4" s="137">
        <f>'תקציב מפורט לספר '!AH10</f>
        <v>5460000</v>
      </c>
      <c r="AI4" s="115" t="e">
        <f>SUM(#REF!)</f>
        <v>#REF!</v>
      </c>
      <c r="AJ4" s="120" t="e">
        <f>SUM(#REF!)</f>
        <v>#REF!</v>
      </c>
      <c r="AK4" s="120" t="e">
        <f>SUM(#REF!)</f>
        <v>#REF!</v>
      </c>
      <c r="AL4" s="120" t="e">
        <f>SUM(#REF!)</f>
        <v>#REF!</v>
      </c>
      <c r="AM4" s="117" t="e">
        <f>SUM(#REF!)</f>
        <v>#REF!</v>
      </c>
      <c r="AN4" s="119" t="e">
        <f>SUM(#REF!)</f>
        <v>#REF!</v>
      </c>
      <c r="AO4" s="39" t="e">
        <f>SUM(#REF!)</f>
        <v>#REF!</v>
      </c>
      <c r="AP4" s="10" t="e">
        <f>SUM(#REF!)</f>
        <v>#REF!</v>
      </c>
      <c r="AQ4" s="10" t="e">
        <f>SUM(#REF!)</f>
        <v>#REF!</v>
      </c>
      <c r="AR4" s="10" t="e">
        <f>SUM(#REF!)</f>
        <v>#REF!</v>
      </c>
      <c r="AS4" s="10" t="e">
        <f>SUM(#REF!)</f>
        <v>#REF!</v>
      </c>
      <c r="AT4" s="10" t="e">
        <f>SUM(#REF!)</f>
        <v>#REF!</v>
      </c>
      <c r="AU4" s="10" t="e">
        <f>SUM(#REF!)</f>
        <v>#REF!</v>
      </c>
      <c r="AV4" s="10" t="e">
        <f>SUM(#REF!)</f>
        <v>#REF!</v>
      </c>
      <c r="AW4" s="10" t="e">
        <f>AP4-AQ4-AV4</f>
        <v>#REF!</v>
      </c>
      <c r="AY4" s="11" t="e">
        <f t="shared" ref="AY4:AY50" si="0">V4-W4-AC4</f>
        <v>#REF!</v>
      </c>
    </row>
    <row r="5" spans="5:51" ht="60" customHeight="1" x14ac:dyDescent="0.2">
      <c r="E5" s="149"/>
      <c r="F5" s="127" t="s">
        <v>22</v>
      </c>
      <c r="G5" s="118" t="e">
        <f>SUM(#REF!)</f>
        <v>#REF!</v>
      </c>
      <c r="H5" s="115" t="e">
        <f>SUM(#REF!)</f>
        <v>#REF!</v>
      </c>
      <c r="I5" s="115" t="e">
        <f>SUM(#REF!)</f>
        <v>#REF!</v>
      </c>
      <c r="J5" s="115" t="e">
        <f>SUM(#REF!)</f>
        <v>#REF!</v>
      </c>
      <c r="K5" s="115" t="e">
        <f>SUM(#REF!)</f>
        <v>#REF!</v>
      </c>
      <c r="L5" s="117" t="e">
        <f>SUM(#REF!)</f>
        <v>#REF!</v>
      </c>
      <c r="M5" s="115" t="e">
        <f>SUM(#REF!)</f>
        <v>#REF!</v>
      </c>
      <c r="N5" s="117" t="e">
        <f>SUM(#REF!)</f>
        <v>#REF!</v>
      </c>
      <c r="O5" s="115" t="e">
        <f>SUM(#REF!)</f>
        <v>#REF!</v>
      </c>
      <c r="P5" s="117" t="e">
        <f>SUM(#REF!)</f>
        <v>#REF!</v>
      </c>
      <c r="Q5" s="115" t="e">
        <f>SUM(#REF!)</f>
        <v>#REF!</v>
      </c>
      <c r="R5" s="117" t="e">
        <f>SUM(#REF!)</f>
        <v>#REF!</v>
      </c>
      <c r="S5" s="118" t="e">
        <f>SUM(#REF!)</f>
        <v>#REF!</v>
      </c>
      <c r="T5" s="118" t="e">
        <f>SUM(#REF!)</f>
        <v>#REF!</v>
      </c>
      <c r="U5" s="118" t="e">
        <f>SUM(#REF!)</f>
        <v>#REF!</v>
      </c>
      <c r="V5" s="119" t="e">
        <f>SUM(#REF!)</f>
        <v>#REF!</v>
      </c>
      <c r="W5" s="115">
        <f>'תקציב מפורט לספר '!W22</f>
        <v>70000000</v>
      </c>
      <c r="X5" s="115">
        <f>'תקציב מפורט לספר '!X22</f>
        <v>0</v>
      </c>
      <c r="Y5" s="115">
        <f>'תקציב מפורט לספר '!Y22</f>
        <v>42000000</v>
      </c>
      <c r="Z5" s="115">
        <f>'תקציב מפורט לספר '!Z22</f>
        <v>25000000</v>
      </c>
      <c r="AA5" s="115">
        <f>'תקציב מפורט לספר '!AA22</f>
        <v>0</v>
      </c>
      <c r="AB5" s="115">
        <f>'תקציב מפורט לספר '!AB22</f>
        <v>3000000</v>
      </c>
      <c r="AC5" s="115">
        <f>'תקציב מפורט לספר '!AC22</f>
        <v>9560000</v>
      </c>
      <c r="AD5" s="115">
        <f>'תקציב מפורט לספר '!AD22</f>
        <v>0</v>
      </c>
      <c r="AE5" s="115">
        <f>'תקציב מפורט לספר '!AE22</f>
        <v>7000000</v>
      </c>
      <c r="AF5" s="115">
        <f>'תקציב מפורט לספר '!AF22</f>
        <v>0</v>
      </c>
      <c r="AG5" s="115">
        <f>'תקציב מפורט לספר '!AG22</f>
        <v>1560000</v>
      </c>
      <c r="AH5" s="119">
        <f>'תקציב מפורט לספר '!AH22</f>
        <v>1000000</v>
      </c>
      <c r="AI5" s="115" t="e">
        <f>SUM(#REF!)</f>
        <v>#REF!</v>
      </c>
      <c r="AJ5" s="120" t="e">
        <f>SUM(#REF!)</f>
        <v>#REF!</v>
      </c>
      <c r="AK5" s="120" t="e">
        <f>SUM(#REF!)</f>
        <v>#REF!</v>
      </c>
      <c r="AL5" s="120" t="e">
        <f>SUM(#REF!)</f>
        <v>#REF!</v>
      </c>
      <c r="AM5" s="117" t="e">
        <f>SUM(#REF!)</f>
        <v>#REF!</v>
      </c>
      <c r="AN5" s="119" t="e">
        <f>SUM(#REF!)</f>
        <v>#REF!</v>
      </c>
      <c r="AO5" s="39" t="e">
        <f>SUM(#REF!)</f>
        <v>#REF!</v>
      </c>
      <c r="AP5" s="10" t="e">
        <f>SUM(#REF!)</f>
        <v>#REF!</v>
      </c>
      <c r="AQ5" s="10" t="e">
        <f>SUM(#REF!)</f>
        <v>#REF!</v>
      </c>
      <c r="AR5" s="10" t="e">
        <f>SUM(#REF!)</f>
        <v>#REF!</v>
      </c>
      <c r="AS5" s="10" t="e">
        <f>SUM(#REF!)</f>
        <v>#REF!</v>
      </c>
      <c r="AT5" s="10" t="e">
        <f>SUM(#REF!)</f>
        <v>#REF!</v>
      </c>
      <c r="AU5" s="10" t="e">
        <f>SUM(#REF!)</f>
        <v>#REF!</v>
      </c>
      <c r="AV5" s="10" t="e">
        <f>SUM(#REF!)</f>
        <v>#REF!</v>
      </c>
      <c r="AW5" s="10" t="e">
        <f>AP5-AQ5-AV5</f>
        <v>#REF!</v>
      </c>
      <c r="AY5" s="11" t="e">
        <f t="shared" si="0"/>
        <v>#REF!</v>
      </c>
    </row>
    <row r="6" spans="5:51" ht="60" customHeight="1" x14ac:dyDescent="0.2">
      <c r="E6" s="149"/>
      <c r="F6" s="127" t="s">
        <v>24</v>
      </c>
      <c r="G6" s="118" t="e">
        <f>SUM(#REF!)</f>
        <v>#REF!</v>
      </c>
      <c r="H6" s="116" t="e">
        <f>SUM(#REF!)</f>
        <v>#REF!</v>
      </c>
      <c r="I6" s="115" t="e">
        <f>SUM(#REF!)</f>
        <v>#REF!</v>
      </c>
      <c r="J6" s="117" t="e">
        <f>SUM(#REF!)</f>
        <v>#REF!</v>
      </c>
      <c r="K6" s="115" t="e">
        <f>SUM(#REF!)</f>
        <v>#REF!</v>
      </c>
      <c r="L6" s="117" t="e">
        <f>SUM(#REF!)</f>
        <v>#REF!</v>
      </c>
      <c r="M6" s="115" t="e">
        <f>SUM(#REF!)</f>
        <v>#REF!</v>
      </c>
      <c r="N6" s="117" t="e">
        <f>SUM(#REF!)</f>
        <v>#REF!</v>
      </c>
      <c r="O6" s="115" t="e">
        <f>SUM(#REF!)</f>
        <v>#REF!</v>
      </c>
      <c r="P6" s="117" t="e">
        <f>SUM(#REF!)</f>
        <v>#REF!</v>
      </c>
      <c r="Q6" s="115" t="e">
        <f>SUM(#REF!)</f>
        <v>#REF!</v>
      </c>
      <c r="R6" s="117" t="e">
        <f>SUM(#REF!)</f>
        <v>#REF!</v>
      </c>
      <c r="S6" s="118" t="e">
        <f>SUM(#REF!)</f>
        <v>#REF!</v>
      </c>
      <c r="T6" s="118" t="e">
        <f>SUM(#REF!)</f>
        <v>#REF!</v>
      </c>
      <c r="U6" s="118" t="e">
        <f>SUM(#REF!)</f>
        <v>#REF!</v>
      </c>
      <c r="V6" s="119" t="e">
        <f>SUM(#REF!)</f>
        <v>#REF!</v>
      </c>
      <c r="W6" s="115">
        <f>'תקציב מפורט לספר '!W28</f>
        <v>5075000</v>
      </c>
      <c r="X6" s="115">
        <f>'תקציב מפורט לספר '!X28</f>
        <v>0</v>
      </c>
      <c r="Y6" s="115">
        <f>'תקציב מפורט לספר '!Y28</f>
        <v>5075000</v>
      </c>
      <c r="Z6" s="115">
        <f>'תקציב מפורט לספר '!Z28</f>
        <v>0</v>
      </c>
      <c r="AA6" s="115">
        <f>'תקציב מפורט לספר '!AA28</f>
        <v>0</v>
      </c>
      <c r="AB6" s="115">
        <f>'תקציב מפורט לספר '!AB28</f>
        <v>0</v>
      </c>
      <c r="AC6" s="115">
        <f>'תקציב מפורט לספר '!AC28</f>
        <v>6275000</v>
      </c>
      <c r="AD6" s="115">
        <f>'תקציב מפורט לספר '!AD28</f>
        <v>0</v>
      </c>
      <c r="AE6" s="115">
        <f>'תקציב מפורט לספר '!AE28</f>
        <v>6275000</v>
      </c>
      <c r="AF6" s="115">
        <f>'תקציב מפורט לספר '!AF28</f>
        <v>0</v>
      </c>
      <c r="AG6" s="115">
        <f>'תקציב מפורט לספר '!AG28</f>
        <v>0</v>
      </c>
      <c r="AH6" s="119">
        <f>'תקציב מפורט לספר '!AH28</f>
        <v>0</v>
      </c>
      <c r="AI6" s="115" t="e">
        <f>SUM(#REF!)</f>
        <v>#REF!</v>
      </c>
      <c r="AJ6" s="120" t="e">
        <f>SUM(#REF!)</f>
        <v>#REF!</v>
      </c>
      <c r="AK6" s="120" t="e">
        <f>SUM(#REF!)</f>
        <v>#REF!</v>
      </c>
      <c r="AL6" s="120" t="e">
        <f>SUM(#REF!)</f>
        <v>#REF!</v>
      </c>
      <c r="AM6" s="117" t="e">
        <f>SUM(#REF!)</f>
        <v>#REF!</v>
      </c>
      <c r="AN6" s="119" t="e">
        <f>SUM(#REF!)</f>
        <v>#REF!</v>
      </c>
      <c r="AO6" s="39" t="e">
        <f>SUM(#REF!)</f>
        <v>#REF!</v>
      </c>
      <c r="AP6" s="10" t="e">
        <f>SUM(#REF!)</f>
        <v>#REF!</v>
      </c>
      <c r="AQ6" s="10" t="e">
        <f>SUM(#REF!)</f>
        <v>#REF!</v>
      </c>
      <c r="AR6" s="10" t="e">
        <f>SUM(#REF!)</f>
        <v>#REF!</v>
      </c>
      <c r="AS6" s="10" t="e">
        <f>SUM(#REF!)</f>
        <v>#REF!</v>
      </c>
      <c r="AT6" s="10" t="e">
        <f>SUM(#REF!)</f>
        <v>#REF!</v>
      </c>
      <c r="AU6" s="10" t="e">
        <f>SUM(#REF!)</f>
        <v>#REF!</v>
      </c>
      <c r="AV6" s="10" t="e">
        <f>SUM(#REF!)</f>
        <v>#REF!</v>
      </c>
      <c r="AW6" s="10" t="e">
        <f>AP6-AQ6-AV6</f>
        <v>#REF!</v>
      </c>
      <c r="AY6" s="11" t="e">
        <f t="shared" si="0"/>
        <v>#REF!</v>
      </c>
    </row>
    <row r="7" spans="5:51" ht="60" customHeight="1" x14ac:dyDescent="0.2">
      <c r="E7" s="149"/>
      <c r="F7" s="127" t="s">
        <v>32</v>
      </c>
      <c r="G7" s="118" t="e">
        <f>SUM(#REF!)</f>
        <v>#REF!</v>
      </c>
      <c r="H7" s="116" t="e">
        <f>SUM(#REF!)</f>
        <v>#REF!</v>
      </c>
      <c r="I7" s="115" t="e">
        <f>SUM(#REF!)</f>
        <v>#REF!</v>
      </c>
      <c r="J7" s="117" t="e">
        <f>SUM(#REF!)</f>
        <v>#REF!</v>
      </c>
      <c r="K7" s="115" t="e">
        <f>SUM(#REF!)</f>
        <v>#REF!</v>
      </c>
      <c r="L7" s="117" t="e">
        <f>SUM(#REF!)</f>
        <v>#REF!</v>
      </c>
      <c r="M7" s="115" t="e">
        <f>SUM(#REF!)</f>
        <v>#REF!</v>
      </c>
      <c r="N7" s="117" t="e">
        <f>SUM(#REF!)</f>
        <v>#REF!</v>
      </c>
      <c r="O7" s="115" t="e">
        <f>SUM(#REF!)</f>
        <v>#REF!</v>
      </c>
      <c r="P7" s="117" t="e">
        <f>SUM(#REF!)</f>
        <v>#REF!</v>
      </c>
      <c r="Q7" s="115" t="e">
        <f>SUM(#REF!)</f>
        <v>#REF!</v>
      </c>
      <c r="R7" s="117" t="e">
        <f>SUM(#REF!)</f>
        <v>#REF!</v>
      </c>
      <c r="S7" s="118" t="e">
        <f>SUM(#REF!)</f>
        <v>#REF!</v>
      </c>
      <c r="T7" s="118" t="e">
        <f>SUM(#REF!)</f>
        <v>#REF!</v>
      </c>
      <c r="U7" s="118" t="e">
        <f>SUM(#REF!)</f>
        <v>#REF!</v>
      </c>
      <c r="V7" s="119" t="e">
        <f>SUM(#REF!)</f>
        <v>#REF!</v>
      </c>
      <c r="W7" s="115">
        <f>'תקציב מפורט לספר '!W67</f>
        <v>44550000</v>
      </c>
      <c r="X7" s="115">
        <f>'תקציב מפורט לספר '!X67</f>
        <v>22550000</v>
      </c>
      <c r="Y7" s="115">
        <f>'תקציב מפורט לספר '!Y67</f>
        <v>2450000</v>
      </c>
      <c r="Z7" s="115">
        <f>'תקציב מפורט לספר '!Z67</f>
        <v>18500000</v>
      </c>
      <c r="AA7" s="115">
        <f>'תקציב מפורט לספר '!AA67</f>
        <v>1050000</v>
      </c>
      <c r="AB7" s="115">
        <f>'תקציב מפורט לספר '!AB67</f>
        <v>0</v>
      </c>
      <c r="AC7" s="115">
        <f>'תקציב מפורט לספר '!AC67</f>
        <v>145350000</v>
      </c>
      <c r="AD7" s="115">
        <f>'תקציב מפורט לספר '!AD67</f>
        <v>9450000</v>
      </c>
      <c r="AE7" s="115">
        <f>'תקציב מפורט לספר '!AE67</f>
        <v>45600000</v>
      </c>
      <c r="AF7" s="115">
        <f>'תקציב מפורט לספר '!AF67</f>
        <v>90300000</v>
      </c>
      <c r="AG7" s="115">
        <f>'תקציב מפורט לספר '!AG67</f>
        <v>0</v>
      </c>
      <c r="AH7" s="119">
        <f>'תקציב מפורט לספר '!AH67</f>
        <v>0</v>
      </c>
      <c r="AI7" s="115" t="e">
        <f>SUM(#REF!)</f>
        <v>#REF!</v>
      </c>
      <c r="AJ7" s="120" t="e">
        <f>SUM(#REF!)</f>
        <v>#REF!</v>
      </c>
      <c r="AK7" s="120" t="e">
        <f>SUM(#REF!)</f>
        <v>#REF!</v>
      </c>
      <c r="AL7" s="120" t="e">
        <f>SUM(#REF!)</f>
        <v>#REF!</v>
      </c>
      <c r="AM7" s="117" t="e">
        <f>SUM(#REF!)</f>
        <v>#REF!</v>
      </c>
      <c r="AN7" s="119" t="e">
        <f>SUM(#REF!)</f>
        <v>#REF!</v>
      </c>
      <c r="AO7" s="39" t="e">
        <f>SUM(#REF!)</f>
        <v>#REF!</v>
      </c>
      <c r="AP7" s="10" t="e">
        <f>SUM(#REF!)</f>
        <v>#REF!</v>
      </c>
      <c r="AQ7" s="10" t="e">
        <f>SUM(#REF!)</f>
        <v>#REF!</v>
      </c>
      <c r="AR7" s="10" t="e">
        <f>SUM(#REF!)</f>
        <v>#REF!</v>
      </c>
      <c r="AS7" s="10" t="e">
        <f>SUM(#REF!)</f>
        <v>#REF!</v>
      </c>
      <c r="AT7" s="10" t="e">
        <f>SUM(#REF!)</f>
        <v>#REF!</v>
      </c>
      <c r="AU7" s="10" t="e">
        <f>SUM(#REF!)</f>
        <v>#REF!</v>
      </c>
      <c r="AV7" s="10" t="e">
        <f>SUM(#REF!)</f>
        <v>#REF!</v>
      </c>
      <c r="AW7" s="10" t="e">
        <f>AP7-AQ7-AV7</f>
        <v>#REF!</v>
      </c>
      <c r="AY7" s="11" t="e">
        <f t="shared" si="0"/>
        <v>#REF!</v>
      </c>
    </row>
    <row r="8" spans="5:51" s="27" customFormat="1" ht="60" customHeight="1" x14ac:dyDescent="0.2">
      <c r="E8" s="149"/>
      <c r="F8" s="127" t="s">
        <v>34</v>
      </c>
      <c r="G8" s="118" t="e">
        <f>SUM(#REF!)</f>
        <v>#REF!</v>
      </c>
      <c r="H8" s="116" t="e">
        <f>SUM(#REF!)</f>
        <v>#REF!</v>
      </c>
      <c r="I8" s="115" t="e">
        <f>SUM(#REF!)</f>
        <v>#REF!</v>
      </c>
      <c r="J8" s="117" t="e">
        <f>SUM(#REF!)</f>
        <v>#REF!</v>
      </c>
      <c r="K8" s="115" t="e">
        <f>SUM(#REF!)</f>
        <v>#REF!</v>
      </c>
      <c r="L8" s="117" t="e">
        <f>SUM(#REF!)</f>
        <v>#REF!</v>
      </c>
      <c r="M8" s="115" t="e">
        <f>SUM(#REF!)</f>
        <v>#REF!</v>
      </c>
      <c r="N8" s="117" t="e">
        <f>SUM(#REF!)</f>
        <v>#REF!</v>
      </c>
      <c r="O8" s="115" t="e">
        <f>SUM(#REF!)</f>
        <v>#REF!</v>
      </c>
      <c r="P8" s="117" t="e">
        <f>SUM(#REF!)</f>
        <v>#REF!</v>
      </c>
      <c r="Q8" s="115" t="e">
        <f>SUM(#REF!)</f>
        <v>#REF!</v>
      </c>
      <c r="R8" s="117" t="e">
        <f>SUM(#REF!)</f>
        <v>#REF!</v>
      </c>
      <c r="S8" s="118" t="e">
        <f>SUM(#REF!)</f>
        <v>#REF!</v>
      </c>
      <c r="T8" s="118" t="e">
        <f>SUM(#REF!)</f>
        <v>#REF!</v>
      </c>
      <c r="U8" s="118" t="e">
        <f>SUM(#REF!)</f>
        <v>#REF!</v>
      </c>
      <c r="V8" s="119" t="e">
        <f>SUM(#REF!)</f>
        <v>#REF!</v>
      </c>
      <c r="W8" s="115">
        <f>'תקציב מפורט לספר '!W71</f>
        <v>1100000</v>
      </c>
      <c r="X8" s="115">
        <f>'תקציב מפורט לספר '!X71</f>
        <v>880000</v>
      </c>
      <c r="Y8" s="115">
        <f>'תקציב מפורט לספר '!Y71</f>
        <v>0</v>
      </c>
      <c r="Z8" s="115">
        <f>'תקציב מפורט לספר '!Z71</f>
        <v>0</v>
      </c>
      <c r="AA8" s="115">
        <f>'תקציב מפורט לספר '!AA71</f>
        <v>220000</v>
      </c>
      <c r="AB8" s="115">
        <f>'תקציב מפורט לספר '!AB71</f>
        <v>0</v>
      </c>
      <c r="AC8" s="115">
        <f>'תקציב מפורט לספר '!AC71</f>
        <v>0</v>
      </c>
      <c r="AD8" s="115">
        <f>'תקציב מפורט לספר '!AD71</f>
        <v>0</v>
      </c>
      <c r="AE8" s="115">
        <f>'תקציב מפורט לספר '!AE71</f>
        <v>0</v>
      </c>
      <c r="AF8" s="115">
        <f>'תקציב מפורט לספר '!AF71</f>
        <v>0</v>
      </c>
      <c r="AG8" s="115">
        <f>'תקציב מפורט לספר '!AG71</f>
        <v>0</v>
      </c>
      <c r="AH8" s="119">
        <f>'תקציב מפורט לספר '!AH71</f>
        <v>0</v>
      </c>
      <c r="AI8" s="115" t="e">
        <f>SUM(#REF!)</f>
        <v>#REF!</v>
      </c>
      <c r="AJ8" s="120" t="e">
        <f>SUM(#REF!)</f>
        <v>#REF!</v>
      </c>
      <c r="AK8" s="120" t="e">
        <f>SUM(#REF!)</f>
        <v>#REF!</v>
      </c>
      <c r="AL8" s="120" t="e">
        <f>SUM(#REF!)</f>
        <v>#REF!</v>
      </c>
      <c r="AM8" s="117" t="e">
        <f>SUM(#REF!)</f>
        <v>#REF!</v>
      </c>
      <c r="AN8" s="131" t="e">
        <f>SUM(AJ8:AM8)</f>
        <v>#REF!</v>
      </c>
      <c r="AO8" s="39" t="e">
        <f>SUM(#REF!)</f>
        <v>#REF!</v>
      </c>
      <c r="AP8" s="10" t="e">
        <f>SUM(#REF!)</f>
        <v>#REF!</v>
      </c>
      <c r="AQ8" s="10" t="e">
        <f>SUM(#REF!)</f>
        <v>#REF!</v>
      </c>
      <c r="AR8" s="10" t="e">
        <f>SUM(#REF!)</f>
        <v>#REF!</v>
      </c>
      <c r="AS8" s="10" t="e">
        <f>SUM(#REF!)</f>
        <v>#REF!</v>
      </c>
      <c r="AT8" s="10" t="e">
        <f>SUM(#REF!)</f>
        <v>#REF!</v>
      </c>
      <c r="AU8" s="10" t="e">
        <f>SUM(#REF!)</f>
        <v>#REF!</v>
      </c>
      <c r="AV8" s="10" t="e">
        <f>SUM(#REF!)</f>
        <v>#REF!</v>
      </c>
      <c r="AW8" s="10" t="e">
        <f>AP8-AQ8-AV8</f>
        <v>#REF!</v>
      </c>
      <c r="AY8" s="11" t="e">
        <f t="shared" si="0"/>
        <v>#REF!</v>
      </c>
    </row>
    <row r="9" spans="5:51" s="27" customFormat="1" ht="60" customHeight="1" x14ac:dyDescent="0.2">
      <c r="E9" s="149"/>
      <c r="F9" s="127" t="s">
        <v>37</v>
      </c>
      <c r="G9" s="118" t="e">
        <f>SUM(#REF!)</f>
        <v>#REF!</v>
      </c>
      <c r="H9" s="116" t="e">
        <f>SUM(#REF!)</f>
        <v>#REF!</v>
      </c>
      <c r="I9" s="115" t="e">
        <f>SUM(#REF!)</f>
        <v>#REF!</v>
      </c>
      <c r="J9" s="117" t="e">
        <f>SUM(#REF!)</f>
        <v>#REF!</v>
      </c>
      <c r="K9" s="115" t="e">
        <f>SUM(#REF!)</f>
        <v>#REF!</v>
      </c>
      <c r="L9" s="117" t="e">
        <f>SUM(#REF!)</f>
        <v>#REF!</v>
      </c>
      <c r="M9" s="115" t="e">
        <f>SUM(#REF!)</f>
        <v>#REF!</v>
      </c>
      <c r="N9" s="117" t="e">
        <f>SUM(#REF!)</f>
        <v>#REF!</v>
      </c>
      <c r="O9" s="115" t="e">
        <f>SUM(#REF!)</f>
        <v>#REF!</v>
      </c>
      <c r="P9" s="117" t="e">
        <f>SUM(#REF!)</f>
        <v>#REF!</v>
      </c>
      <c r="Q9" s="115" t="e">
        <f>SUM(#REF!)</f>
        <v>#REF!</v>
      </c>
      <c r="R9" s="117" t="e">
        <f>SUM(#REF!)</f>
        <v>#REF!</v>
      </c>
      <c r="S9" s="118" t="e">
        <f>SUM(#REF!)</f>
        <v>#REF!</v>
      </c>
      <c r="T9" s="118" t="e">
        <f>SUM(#REF!)</f>
        <v>#REF!</v>
      </c>
      <c r="U9" s="118" t="e">
        <f>SUM(#REF!)</f>
        <v>#REF!</v>
      </c>
      <c r="V9" s="119" t="e">
        <f>SUM(#REF!)</f>
        <v>#REF!</v>
      </c>
      <c r="W9" s="115">
        <f>'תקציב מפורט לספר '!W85</f>
        <v>800000</v>
      </c>
      <c r="X9" s="115">
        <f>'תקציב מפורט לספר '!X85</f>
        <v>0</v>
      </c>
      <c r="Y9" s="115">
        <f>'תקציב מפורט לספר '!Y85</f>
        <v>0</v>
      </c>
      <c r="Z9" s="115">
        <f>'תקציב מפורט לספר '!Z85</f>
        <v>300000</v>
      </c>
      <c r="AA9" s="115">
        <f>'תקציב מפורט לספר '!AA85</f>
        <v>500000</v>
      </c>
      <c r="AB9" s="115">
        <f>'תקציב מפורט לספר '!AB85</f>
        <v>0</v>
      </c>
      <c r="AC9" s="115">
        <f>'תקציב מפורט לספר '!AC85</f>
        <v>37790000</v>
      </c>
      <c r="AD9" s="115">
        <f>'תקציב מפורט לספר '!AD85</f>
        <v>0</v>
      </c>
      <c r="AE9" s="115">
        <f>'תקציב מפורט לספר '!AE85</f>
        <v>13500000</v>
      </c>
      <c r="AF9" s="115">
        <f>'תקציב מפורט לספר '!AF85</f>
        <v>24290000</v>
      </c>
      <c r="AG9" s="115">
        <f>'תקציב מפורט לספר '!AG85</f>
        <v>0</v>
      </c>
      <c r="AH9" s="119">
        <f>'תקציב מפורט לספר '!AH85</f>
        <v>0</v>
      </c>
      <c r="AI9" s="115" t="e">
        <f>SUM(#REF!)</f>
        <v>#REF!</v>
      </c>
      <c r="AJ9" s="120" t="e">
        <f>SUM(#REF!)</f>
        <v>#REF!</v>
      </c>
      <c r="AK9" s="120" t="e">
        <f>SUM(#REF!)</f>
        <v>#REF!</v>
      </c>
      <c r="AL9" s="120" t="e">
        <f>SUM(#REF!)</f>
        <v>#REF!</v>
      </c>
      <c r="AM9" s="117" t="e">
        <f>SUM(#REF!)</f>
        <v>#REF!</v>
      </c>
      <c r="AN9" s="119" t="e">
        <f>SUM(#REF!)</f>
        <v>#REF!</v>
      </c>
      <c r="AO9" s="47" t="e">
        <f>SUM(#REF!)</f>
        <v>#REF!</v>
      </c>
      <c r="AP9" s="47" t="e">
        <f>SUM(#REF!)</f>
        <v>#REF!</v>
      </c>
      <c r="AQ9" s="47" t="e">
        <f>SUM(#REF!)</f>
        <v>#REF!</v>
      </c>
      <c r="AR9" s="47" t="e">
        <f>SUM(#REF!)</f>
        <v>#REF!</v>
      </c>
      <c r="AS9" s="47" t="e">
        <f>SUM(#REF!)</f>
        <v>#REF!</v>
      </c>
      <c r="AT9" s="47" t="e">
        <f>SUM(#REF!)</f>
        <v>#REF!</v>
      </c>
      <c r="AU9" s="47" t="e">
        <f>SUM(#REF!)</f>
        <v>#REF!</v>
      </c>
      <c r="AV9" s="47" t="e">
        <f>SUM(#REF!)</f>
        <v>#REF!</v>
      </c>
      <c r="AW9" s="47" t="e">
        <f>SUM(#REF!)</f>
        <v>#REF!</v>
      </c>
      <c r="AY9" s="11" t="e">
        <f t="shared" si="0"/>
        <v>#REF!</v>
      </c>
    </row>
    <row r="10" spans="5:51" ht="60" customHeight="1" x14ac:dyDescent="0.2">
      <c r="E10" s="149"/>
      <c r="F10" s="127" t="s">
        <v>49</v>
      </c>
      <c r="G10" s="118" t="e">
        <f>SUM(#REF!)</f>
        <v>#REF!</v>
      </c>
      <c r="H10" s="116" t="e">
        <f>SUM(#REF!)</f>
        <v>#REF!</v>
      </c>
      <c r="I10" s="115" t="e">
        <f>SUM(#REF!)</f>
        <v>#REF!</v>
      </c>
      <c r="J10" s="117" t="e">
        <f>SUM(#REF!)</f>
        <v>#REF!</v>
      </c>
      <c r="K10" s="115" t="e">
        <f>SUM(#REF!)</f>
        <v>#REF!</v>
      </c>
      <c r="L10" s="117" t="e">
        <f>SUM(#REF!)</f>
        <v>#REF!</v>
      </c>
      <c r="M10" s="115" t="e">
        <f>SUM(#REF!)</f>
        <v>#REF!</v>
      </c>
      <c r="N10" s="117" t="e">
        <f>SUM(#REF!)</f>
        <v>#REF!</v>
      </c>
      <c r="O10" s="115" t="e">
        <f>SUM(#REF!)</f>
        <v>#REF!</v>
      </c>
      <c r="P10" s="117" t="e">
        <f>SUM(#REF!)</f>
        <v>#REF!</v>
      </c>
      <c r="Q10" s="115" t="e">
        <f>SUM(#REF!)</f>
        <v>#REF!</v>
      </c>
      <c r="R10" s="117" t="e">
        <f>SUM(#REF!)</f>
        <v>#REF!</v>
      </c>
      <c r="S10" s="118" t="e">
        <f>SUM(#REF!)</f>
        <v>#REF!</v>
      </c>
      <c r="T10" s="118" t="e">
        <f>SUM(#REF!)</f>
        <v>#REF!</v>
      </c>
      <c r="U10" s="118" t="e">
        <f>SUM(#REF!)</f>
        <v>#REF!</v>
      </c>
      <c r="V10" s="119" t="e">
        <f>SUM(#REF!)</f>
        <v>#REF!</v>
      </c>
      <c r="W10" s="115">
        <f>'תקציב מפורט לספר '!W102</f>
        <v>27600000</v>
      </c>
      <c r="X10" s="115">
        <f>'תקציב מפורט לספר '!X102</f>
        <v>20000000</v>
      </c>
      <c r="Y10" s="115">
        <f>'תקציב מפורט לספר '!Y102</f>
        <v>550000</v>
      </c>
      <c r="Z10" s="115">
        <f>'תקציב מפורט לספר '!Z102</f>
        <v>0</v>
      </c>
      <c r="AA10" s="115">
        <f>'תקציב מפורט לספר '!AA102</f>
        <v>1450000</v>
      </c>
      <c r="AB10" s="115">
        <f>'תקציב מפורט לספר '!AB102</f>
        <v>5600000</v>
      </c>
      <c r="AC10" s="115">
        <f>'תקציב מפורט לספר '!AC102</f>
        <v>13600000</v>
      </c>
      <c r="AD10" s="115">
        <f>'תקציב מפורט לספר '!AD102</f>
        <v>0</v>
      </c>
      <c r="AE10" s="115">
        <f>'תקציב מפורט לספר '!AE102</f>
        <v>1200000</v>
      </c>
      <c r="AF10" s="115">
        <f>'תקציב מפורט לספר '!AF102</f>
        <v>0</v>
      </c>
      <c r="AG10" s="115">
        <f>'תקציב מפורט לספר '!AG102</f>
        <v>2400000</v>
      </c>
      <c r="AH10" s="119">
        <f>'תקציב מפורט לספר '!AH102</f>
        <v>10000000</v>
      </c>
      <c r="AI10" s="115" t="e">
        <f>SUM(#REF!)</f>
        <v>#REF!</v>
      </c>
      <c r="AJ10" s="120" t="e">
        <f>SUM(#REF!)</f>
        <v>#REF!</v>
      </c>
      <c r="AK10" s="120" t="e">
        <f>SUM(#REF!)</f>
        <v>#REF!</v>
      </c>
      <c r="AL10" s="120" t="e">
        <f>SUM(#REF!)</f>
        <v>#REF!</v>
      </c>
      <c r="AM10" s="117" t="e">
        <f>SUM(#REF!)</f>
        <v>#REF!</v>
      </c>
      <c r="AN10" s="119" t="e">
        <f>SUM(#REF!)</f>
        <v>#REF!</v>
      </c>
      <c r="AO10" s="47" t="e">
        <f>SUM(#REF!)</f>
        <v>#REF!</v>
      </c>
      <c r="AP10" s="47" t="e">
        <f>SUM(#REF!)</f>
        <v>#REF!</v>
      </c>
      <c r="AQ10" s="47" t="e">
        <f>SUM(#REF!)</f>
        <v>#REF!</v>
      </c>
      <c r="AR10" s="47" t="e">
        <f>SUM(#REF!)</f>
        <v>#REF!</v>
      </c>
      <c r="AS10" s="47" t="e">
        <f>SUM(#REF!)</f>
        <v>#REF!</v>
      </c>
      <c r="AT10" s="47" t="e">
        <f>SUM(#REF!)</f>
        <v>#REF!</v>
      </c>
      <c r="AU10" s="47" t="e">
        <f>SUM(#REF!)</f>
        <v>#REF!</v>
      </c>
      <c r="AV10" s="47" t="e">
        <f>SUM(#REF!)</f>
        <v>#REF!</v>
      </c>
      <c r="AW10" s="47" t="e">
        <f>SUM(#REF!)</f>
        <v>#REF!</v>
      </c>
      <c r="AY10" s="11" t="e">
        <f t="shared" si="0"/>
        <v>#REF!</v>
      </c>
    </row>
    <row r="11" spans="5:51" ht="60" customHeight="1" x14ac:dyDescent="0.2">
      <c r="E11" s="150">
        <v>2</v>
      </c>
      <c r="F11" s="127" t="s">
        <v>50</v>
      </c>
      <c r="G11" s="118" t="e">
        <f t="shared" ref="G11:W11" si="1">G10+G9+G8+G7+G6+G5</f>
        <v>#REF!</v>
      </c>
      <c r="H11" s="116" t="e">
        <f t="shared" si="1"/>
        <v>#REF!</v>
      </c>
      <c r="I11" s="115" t="e">
        <f t="shared" si="1"/>
        <v>#REF!</v>
      </c>
      <c r="J11" s="117" t="e">
        <f t="shared" si="1"/>
        <v>#REF!</v>
      </c>
      <c r="K11" s="115" t="e">
        <f t="shared" si="1"/>
        <v>#REF!</v>
      </c>
      <c r="L11" s="117" t="e">
        <f t="shared" si="1"/>
        <v>#REF!</v>
      </c>
      <c r="M11" s="115" t="e">
        <f t="shared" si="1"/>
        <v>#REF!</v>
      </c>
      <c r="N11" s="117" t="e">
        <f t="shared" si="1"/>
        <v>#REF!</v>
      </c>
      <c r="O11" s="115" t="e">
        <f t="shared" si="1"/>
        <v>#REF!</v>
      </c>
      <c r="P11" s="117" t="e">
        <f t="shared" si="1"/>
        <v>#REF!</v>
      </c>
      <c r="Q11" s="115" t="e">
        <f t="shared" si="1"/>
        <v>#REF!</v>
      </c>
      <c r="R11" s="117" t="e">
        <f t="shared" si="1"/>
        <v>#REF!</v>
      </c>
      <c r="S11" s="118" t="e">
        <f t="shared" si="1"/>
        <v>#REF!</v>
      </c>
      <c r="T11" s="118" t="e">
        <f t="shared" si="1"/>
        <v>#REF!</v>
      </c>
      <c r="U11" s="118" t="e">
        <f t="shared" si="1"/>
        <v>#REF!</v>
      </c>
      <c r="V11" s="119" t="e">
        <f t="shared" si="1"/>
        <v>#REF!</v>
      </c>
      <c r="W11" s="115">
        <f t="shared" si="1"/>
        <v>149125000</v>
      </c>
      <c r="X11" s="115">
        <f t="shared" ref="X11:AH11" si="2">X10+X9+X8+X7+X6+X5</f>
        <v>43430000</v>
      </c>
      <c r="Y11" s="115">
        <f t="shared" si="2"/>
        <v>50075000</v>
      </c>
      <c r="Z11" s="115">
        <f t="shared" si="2"/>
        <v>43800000</v>
      </c>
      <c r="AA11" s="115">
        <f t="shared" si="2"/>
        <v>3220000</v>
      </c>
      <c r="AB11" s="115">
        <f t="shared" si="2"/>
        <v>8600000</v>
      </c>
      <c r="AC11" s="115">
        <f t="shared" si="2"/>
        <v>212575000</v>
      </c>
      <c r="AD11" s="115">
        <f t="shared" si="2"/>
        <v>9450000</v>
      </c>
      <c r="AE11" s="115">
        <f t="shared" si="2"/>
        <v>73575000</v>
      </c>
      <c r="AF11" s="115">
        <f t="shared" si="2"/>
        <v>114590000</v>
      </c>
      <c r="AG11" s="115">
        <f t="shared" si="2"/>
        <v>3960000</v>
      </c>
      <c r="AH11" s="119">
        <f t="shared" si="2"/>
        <v>11000000</v>
      </c>
      <c r="AI11" s="115" t="e">
        <f t="shared" ref="AI11:AW11" si="3">AI10+AI9+AI8+AI7+AI6+AI5</f>
        <v>#REF!</v>
      </c>
      <c r="AJ11" s="120" t="e">
        <f t="shared" si="3"/>
        <v>#REF!</v>
      </c>
      <c r="AK11" s="120" t="e">
        <f t="shared" si="3"/>
        <v>#REF!</v>
      </c>
      <c r="AL11" s="120" t="e">
        <f t="shared" si="3"/>
        <v>#REF!</v>
      </c>
      <c r="AM11" s="117" t="e">
        <f t="shared" si="3"/>
        <v>#REF!</v>
      </c>
      <c r="AN11" s="119" t="e">
        <f t="shared" si="3"/>
        <v>#REF!</v>
      </c>
      <c r="AO11" s="47" t="e">
        <f t="shared" si="3"/>
        <v>#REF!</v>
      </c>
      <c r="AP11" s="47" t="e">
        <f t="shared" si="3"/>
        <v>#REF!</v>
      </c>
      <c r="AQ11" s="47" t="e">
        <f t="shared" si="3"/>
        <v>#REF!</v>
      </c>
      <c r="AR11" s="47" t="e">
        <f t="shared" si="3"/>
        <v>#REF!</v>
      </c>
      <c r="AS11" s="47" t="e">
        <f t="shared" si="3"/>
        <v>#REF!</v>
      </c>
      <c r="AT11" s="47" t="e">
        <f t="shared" si="3"/>
        <v>#REF!</v>
      </c>
      <c r="AU11" s="47" t="e">
        <f t="shared" si="3"/>
        <v>#REF!</v>
      </c>
      <c r="AV11" s="47" t="e">
        <f t="shared" si="3"/>
        <v>#REF!</v>
      </c>
      <c r="AW11" s="47" t="e">
        <f t="shared" si="3"/>
        <v>#REF!</v>
      </c>
      <c r="AY11" s="11" t="e">
        <f t="shared" si="0"/>
        <v>#REF!</v>
      </c>
    </row>
    <row r="12" spans="5:51" ht="60" customHeight="1" x14ac:dyDescent="0.2">
      <c r="E12" s="149"/>
      <c r="F12" s="127" t="s">
        <v>58</v>
      </c>
      <c r="G12" s="118" t="e">
        <f>SUM(#REF!)</f>
        <v>#REF!</v>
      </c>
      <c r="H12" s="116" t="e">
        <f>SUM(#REF!)</f>
        <v>#REF!</v>
      </c>
      <c r="I12" s="115" t="e">
        <f>SUM(#REF!)</f>
        <v>#REF!</v>
      </c>
      <c r="J12" s="117" t="e">
        <f>SUM(#REF!)</f>
        <v>#REF!</v>
      </c>
      <c r="K12" s="115" t="e">
        <f>SUM(#REF!)</f>
        <v>#REF!</v>
      </c>
      <c r="L12" s="117" t="e">
        <f>SUM(#REF!)</f>
        <v>#REF!</v>
      </c>
      <c r="M12" s="115" t="e">
        <f>SUM(#REF!)</f>
        <v>#REF!</v>
      </c>
      <c r="N12" s="117" t="e">
        <f>SUM(#REF!)</f>
        <v>#REF!</v>
      </c>
      <c r="O12" s="115" t="e">
        <f>SUM(#REF!)</f>
        <v>#REF!</v>
      </c>
      <c r="P12" s="117" t="e">
        <f>SUM(#REF!)</f>
        <v>#REF!</v>
      </c>
      <c r="Q12" s="115" t="e">
        <f>SUM(#REF!)</f>
        <v>#REF!</v>
      </c>
      <c r="R12" s="117" t="e">
        <f>SUM(#REF!)</f>
        <v>#REF!</v>
      </c>
      <c r="S12" s="118" t="e">
        <f>SUM(#REF!)</f>
        <v>#REF!</v>
      </c>
      <c r="T12" s="118" t="e">
        <f>SUM(#REF!)</f>
        <v>#REF!</v>
      </c>
      <c r="U12" s="118" t="e">
        <f>SUM(#REF!)</f>
        <v>#REF!</v>
      </c>
      <c r="V12" s="119" t="e">
        <f>SUM(#REF!)</f>
        <v>#REF!</v>
      </c>
      <c r="W12" s="115">
        <f>'תקציב מפורט לספר '!W112</f>
        <v>8800000</v>
      </c>
      <c r="X12" s="115">
        <f>'תקציב מפורט לספר '!X112</f>
        <v>0</v>
      </c>
      <c r="Y12" s="115">
        <f>'תקציב מפורט לספר '!Y112</f>
        <v>0</v>
      </c>
      <c r="Z12" s="115">
        <f>'תקציב מפורט לספר '!Z112</f>
        <v>0</v>
      </c>
      <c r="AA12" s="115">
        <f>'תקציב מפורט לספר '!AA112</f>
        <v>5050000</v>
      </c>
      <c r="AB12" s="115">
        <f>'תקציב מפורט לספר '!AB112</f>
        <v>3750000</v>
      </c>
      <c r="AC12" s="115">
        <f>'תקציב מפורט לספר '!AC112</f>
        <v>100000</v>
      </c>
      <c r="AD12" s="115">
        <f>'תקציב מפורט לספר '!AD112</f>
        <v>0</v>
      </c>
      <c r="AE12" s="115">
        <f>'תקציב מפורט לספר '!AE112</f>
        <v>0</v>
      </c>
      <c r="AF12" s="115">
        <f>'תקציב מפורט לספר '!AF112</f>
        <v>0</v>
      </c>
      <c r="AG12" s="115">
        <f>'תקציב מפורט לספר '!AG112</f>
        <v>100000</v>
      </c>
      <c r="AH12" s="119">
        <f>'תקציב מפורט לספר '!AH112</f>
        <v>0</v>
      </c>
      <c r="AI12" s="115" t="e">
        <f>SUM(#REF!)</f>
        <v>#REF!</v>
      </c>
      <c r="AJ12" s="120" t="e">
        <f>SUM(#REF!)</f>
        <v>#REF!</v>
      </c>
      <c r="AK12" s="120" t="e">
        <f>SUM(#REF!)</f>
        <v>#REF!</v>
      </c>
      <c r="AL12" s="120" t="e">
        <f>SUM(#REF!)</f>
        <v>#REF!</v>
      </c>
      <c r="AM12" s="117" t="e">
        <f>SUM(#REF!)</f>
        <v>#REF!</v>
      </c>
      <c r="AN12" s="119" t="e">
        <f>SUM(#REF!)</f>
        <v>#REF!</v>
      </c>
      <c r="AO12" s="39" t="e">
        <f>SUM(#REF!)</f>
        <v>#REF!</v>
      </c>
      <c r="AP12" s="10" t="e">
        <f>SUM(#REF!)</f>
        <v>#REF!</v>
      </c>
      <c r="AQ12" s="10" t="e">
        <f>SUM(#REF!)</f>
        <v>#REF!</v>
      </c>
      <c r="AR12" s="10" t="e">
        <f>SUM(#REF!)</f>
        <v>#REF!</v>
      </c>
      <c r="AS12" s="10" t="e">
        <f>SUM(#REF!)</f>
        <v>#REF!</v>
      </c>
      <c r="AT12" s="10" t="e">
        <f>SUM(#REF!)</f>
        <v>#REF!</v>
      </c>
      <c r="AU12" s="10" t="e">
        <f>SUM(#REF!)</f>
        <v>#REF!</v>
      </c>
      <c r="AV12" s="10" t="e">
        <f>SUM(#REF!)</f>
        <v>#REF!</v>
      </c>
      <c r="AW12" s="10" t="e">
        <f>SUM(#REF!)</f>
        <v>#REF!</v>
      </c>
      <c r="AY12" s="11" t="e">
        <f t="shared" si="0"/>
        <v>#REF!</v>
      </c>
    </row>
    <row r="13" spans="5:51" ht="60" customHeight="1" x14ac:dyDescent="0.2">
      <c r="E13" s="149"/>
      <c r="F13" s="127" t="s">
        <v>64</v>
      </c>
      <c r="G13" s="118" t="e">
        <f>SUM(#REF!)</f>
        <v>#REF!</v>
      </c>
      <c r="H13" s="116" t="e">
        <f>SUM(#REF!)</f>
        <v>#REF!</v>
      </c>
      <c r="I13" s="115" t="e">
        <f>SUM(#REF!)</f>
        <v>#REF!</v>
      </c>
      <c r="J13" s="117" t="e">
        <f>SUM(#REF!)</f>
        <v>#REF!</v>
      </c>
      <c r="K13" s="115" t="e">
        <f>SUM(#REF!)</f>
        <v>#REF!</v>
      </c>
      <c r="L13" s="117" t="e">
        <f>SUM(#REF!)</f>
        <v>#REF!</v>
      </c>
      <c r="M13" s="115" t="e">
        <f>SUM(#REF!)</f>
        <v>#REF!</v>
      </c>
      <c r="N13" s="117" t="e">
        <f>SUM(#REF!)</f>
        <v>#REF!</v>
      </c>
      <c r="O13" s="115" t="e">
        <f>SUM(#REF!)</f>
        <v>#REF!</v>
      </c>
      <c r="P13" s="117" t="e">
        <f>SUM(#REF!)</f>
        <v>#REF!</v>
      </c>
      <c r="Q13" s="115" t="e">
        <f>SUM(#REF!)</f>
        <v>#REF!</v>
      </c>
      <c r="R13" s="117" t="e">
        <f>SUM(#REF!)</f>
        <v>#REF!</v>
      </c>
      <c r="S13" s="118" t="e">
        <f>SUM(#REF!)</f>
        <v>#REF!</v>
      </c>
      <c r="T13" s="118" t="e">
        <f>SUM(#REF!)</f>
        <v>#REF!</v>
      </c>
      <c r="U13" s="118" t="e">
        <f>SUM(#REF!)</f>
        <v>#REF!</v>
      </c>
      <c r="V13" s="119" t="e">
        <f>SUM(#REF!)</f>
        <v>#REF!</v>
      </c>
      <c r="W13" s="115">
        <f>'תקציב מפורט לספר '!W127</f>
        <v>5870000</v>
      </c>
      <c r="X13" s="115">
        <f>'תקציב מפורט לספר '!X127</f>
        <v>800000</v>
      </c>
      <c r="Y13" s="115">
        <f>'תקציב מפורט לספר '!Y127</f>
        <v>400000</v>
      </c>
      <c r="Z13" s="115">
        <f>'תקציב מפורט לספר '!Z127</f>
        <v>0</v>
      </c>
      <c r="AA13" s="115">
        <f>'תקציב מפורט לספר '!AA127</f>
        <v>370000</v>
      </c>
      <c r="AB13" s="115">
        <f>'תקציב מפורט לספר '!AB127</f>
        <v>4300000</v>
      </c>
      <c r="AC13" s="115">
        <f>'תקציב מפורט לספר '!AC127</f>
        <v>5400000</v>
      </c>
      <c r="AD13" s="115">
        <f>'תקציב מפורט לספר '!AD127</f>
        <v>0</v>
      </c>
      <c r="AE13" s="115">
        <f>'תקציב מפורט לספר '!AE127</f>
        <v>0</v>
      </c>
      <c r="AF13" s="115">
        <f>'תקציב מפורט לספר '!AF127</f>
        <v>0</v>
      </c>
      <c r="AG13" s="115">
        <f>'תקציב מפורט לספר '!AG127</f>
        <v>2600000</v>
      </c>
      <c r="AH13" s="119">
        <f>'תקציב מפורט לספר '!AH127</f>
        <v>2800000</v>
      </c>
      <c r="AI13" s="115" t="e">
        <f>SUM(#REF!)</f>
        <v>#REF!</v>
      </c>
      <c r="AJ13" s="120" t="e">
        <f>SUM(#REF!)</f>
        <v>#REF!</v>
      </c>
      <c r="AK13" s="120" t="e">
        <f>SUM(#REF!)</f>
        <v>#REF!</v>
      </c>
      <c r="AL13" s="120" t="e">
        <f>SUM(#REF!)</f>
        <v>#REF!</v>
      </c>
      <c r="AM13" s="117" t="e">
        <f>SUM(#REF!)</f>
        <v>#REF!</v>
      </c>
      <c r="AN13" s="119" t="e">
        <f>SUM(#REF!)</f>
        <v>#REF!</v>
      </c>
      <c r="AO13" s="47" t="e">
        <f>SUM(#REF!)</f>
        <v>#REF!</v>
      </c>
      <c r="AP13" s="47" t="e">
        <f>SUM(#REF!)</f>
        <v>#REF!</v>
      </c>
      <c r="AQ13" s="47" t="e">
        <f>SUM(#REF!)</f>
        <v>#REF!</v>
      </c>
      <c r="AR13" s="47" t="e">
        <f>SUM(#REF!)</f>
        <v>#REF!</v>
      </c>
      <c r="AS13" s="47" t="e">
        <f>SUM(#REF!)</f>
        <v>#REF!</v>
      </c>
      <c r="AT13" s="47" t="e">
        <f>SUM(#REF!)</f>
        <v>#REF!</v>
      </c>
      <c r="AU13" s="47" t="e">
        <f>SUM(#REF!)</f>
        <v>#REF!</v>
      </c>
      <c r="AV13" s="47" t="e">
        <f>SUM(#REF!)</f>
        <v>#REF!</v>
      </c>
      <c r="AW13" s="47" t="e">
        <f>SUM(#REF!)</f>
        <v>#REF!</v>
      </c>
      <c r="AY13" s="11" t="e">
        <f t="shared" si="0"/>
        <v>#REF!</v>
      </c>
    </row>
    <row r="14" spans="5:51" ht="60" customHeight="1" x14ac:dyDescent="0.2">
      <c r="E14" s="149"/>
      <c r="F14" s="127" t="s">
        <v>76</v>
      </c>
      <c r="G14" s="118" t="e">
        <f>SUM(#REF!)</f>
        <v>#REF!</v>
      </c>
      <c r="H14" s="116" t="e">
        <f>SUM(#REF!)</f>
        <v>#REF!</v>
      </c>
      <c r="I14" s="115" t="e">
        <f>SUM(#REF!)</f>
        <v>#REF!</v>
      </c>
      <c r="J14" s="117" t="e">
        <f>SUM(#REF!)</f>
        <v>#REF!</v>
      </c>
      <c r="K14" s="115" t="e">
        <f>SUM(#REF!)</f>
        <v>#REF!</v>
      </c>
      <c r="L14" s="117" t="e">
        <f>SUM(#REF!)</f>
        <v>#REF!</v>
      </c>
      <c r="M14" s="115" t="e">
        <f>SUM(#REF!)</f>
        <v>#REF!</v>
      </c>
      <c r="N14" s="117" t="e">
        <f>SUM(#REF!)</f>
        <v>#REF!</v>
      </c>
      <c r="O14" s="115" t="e">
        <f>SUM(#REF!)</f>
        <v>#REF!</v>
      </c>
      <c r="P14" s="117" t="e">
        <f>SUM(#REF!)</f>
        <v>#REF!</v>
      </c>
      <c r="Q14" s="115" t="e">
        <f>SUM(#REF!)</f>
        <v>#REF!</v>
      </c>
      <c r="R14" s="117" t="e">
        <f>SUM(#REF!)</f>
        <v>#REF!</v>
      </c>
      <c r="S14" s="118" t="e">
        <f>SUM(#REF!)</f>
        <v>#REF!</v>
      </c>
      <c r="T14" s="120" t="e">
        <f>SUM(#REF!)</f>
        <v>#REF!</v>
      </c>
      <c r="U14" s="116" t="e">
        <f>SUM(#REF!)</f>
        <v>#REF!</v>
      </c>
      <c r="V14" s="119" t="e">
        <f>SUM(#REF!)</f>
        <v>#REF!</v>
      </c>
      <c r="W14" s="115">
        <f>'תקציב מפורט לספר '!W145</f>
        <v>16050000</v>
      </c>
      <c r="X14" s="115">
        <f>'תקציב מפורט לספר '!X145</f>
        <v>2950000</v>
      </c>
      <c r="Y14" s="115">
        <f>'תקציב מפורט לספר '!Y145</f>
        <v>1300000</v>
      </c>
      <c r="Z14" s="115">
        <f>'תקציב מפורט לספר '!Z145</f>
        <v>0</v>
      </c>
      <c r="AA14" s="115">
        <f>'תקציב מפורט לספר '!AA145</f>
        <v>6975000</v>
      </c>
      <c r="AB14" s="115">
        <f>'תקציב מפורט לספר '!AB145</f>
        <v>4825000</v>
      </c>
      <c r="AC14" s="115">
        <f>'תקציב מפורט לספר '!AC145</f>
        <v>4500000</v>
      </c>
      <c r="AD14" s="115">
        <f>'תקציב מפורט לספר '!AD145</f>
        <v>0</v>
      </c>
      <c r="AE14" s="115">
        <f>'תקציב מפורט לספר '!AE145</f>
        <v>0</v>
      </c>
      <c r="AF14" s="115">
        <f>'תקציב מפורט לספר '!AF145</f>
        <v>0</v>
      </c>
      <c r="AG14" s="115">
        <f>'תקציב מפורט לספר '!AG145</f>
        <v>2725000</v>
      </c>
      <c r="AH14" s="119">
        <f>'תקציב מפורט לספר '!AH145</f>
        <v>1775000</v>
      </c>
      <c r="AI14" s="115" t="e">
        <f>SUM(#REF!)</f>
        <v>#REF!</v>
      </c>
      <c r="AJ14" s="120" t="e">
        <f>SUM(#REF!)</f>
        <v>#REF!</v>
      </c>
      <c r="AK14" s="120" t="e">
        <f>SUM(#REF!)</f>
        <v>#REF!</v>
      </c>
      <c r="AL14" s="120" t="e">
        <f>SUM(#REF!)</f>
        <v>#REF!</v>
      </c>
      <c r="AM14" s="117" t="e">
        <f>SUM(#REF!)</f>
        <v>#REF!</v>
      </c>
      <c r="AN14" s="119" t="e">
        <f>SUM(#REF!)</f>
        <v>#REF!</v>
      </c>
      <c r="AO14" s="39" t="e">
        <f>SUM(#REF!)</f>
        <v>#REF!</v>
      </c>
      <c r="AP14" s="10" t="e">
        <f>SUM(#REF!)</f>
        <v>#REF!</v>
      </c>
      <c r="AQ14" s="10" t="e">
        <f>SUM(#REF!)</f>
        <v>#REF!</v>
      </c>
      <c r="AR14" s="10" t="e">
        <f>SUM(#REF!)</f>
        <v>#REF!</v>
      </c>
      <c r="AS14" s="10" t="e">
        <f>SUM(#REF!)</f>
        <v>#REF!</v>
      </c>
      <c r="AT14" s="10" t="e">
        <f>SUM(#REF!)</f>
        <v>#REF!</v>
      </c>
      <c r="AU14" s="10" t="e">
        <f>SUM(#REF!)</f>
        <v>#REF!</v>
      </c>
      <c r="AV14" s="10" t="e">
        <f>SUM(#REF!)</f>
        <v>#REF!</v>
      </c>
      <c r="AW14" s="10" t="e">
        <f>AP14-AQ14-AV14</f>
        <v>#REF!</v>
      </c>
      <c r="AY14" s="11" t="e">
        <f t="shared" si="0"/>
        <v>#REF!</v>
      </c>
    </row>
    <row r="15" spans="5:51" ht="60" customHeight="1" x14ac:dyDescent="0.2">
      <c r="E15" s="149"/>
      <c r="F15" s="127" t="s">
        <v>81</v>
      </c>
      <c r="G15" s="118" t="e">
        <f>SUM(#REF!)</f>
        <v>#REF!</v>
      </c>
      <c r="H15" s="116" t="e">
        <f>SUM(#REF!)</f>
        <v>#REF!</v>
      </c>
      <c r="I15" s="115" t="e">
        <f>SUM(#REF!)</f>
        <v>#REF!</v>
      </c>
      <c r="J15" s="117" t="e">
        <f>SUM(#REF!)</f>
        <v>#REF!</v>
      </c>
      <c r="K15" s="115" t="e">
        <f>SUM(#REF!)</f>
        <v>#REF!</v>
      </c>
      <c r="L15" s="117" t="e">
        <f>SUM(#REF!)</f>
        <v>#REF!</v>
      </c>
      <c r="M15" s="115" t="e">
        <f>SUM(#REF!)</f>
        <v>#REF!</v>
      </c>
      <c r="N15" s="117" t="e">
        <f>SUM(#REF!)</f>
        <v>#REF!</v>
      </c>
      <c r="O15" s="115" t="e">
        <f>SUM(#REF!)</f>
        <v>#REF!</v>
      </c>
      <c r="P15" s="117" t="e">
        <f>SUM(#REF!)</f>
        <v>#REF!</v>
      </c>
      <c r="Q15" s="115" t="e">
        <f>SUM(#REF!)</f>
        <v>#REF!</v>
      </c>
      <c r="R15" s="117" t="e">
        <f>SUM(#REF!)</f>
        <v>#REF!</v>
      </c>
      <c r="S15" s="118" t="e">
        <f>SUM(#REF!)</f>
        <v>#REF!</v>
      </c>
      <c r="T15" s="120" t="e">
        <f>SUM(#REF!)</f>
        <v>#REF!</v>
      </c>
      <c r="U15" s="116" t="e">
        <f>SUM(#REF!)</f>
        <v>#REF!</v>
      </c>
      <c r="V15" s="119" t="e">
        <f>SUM(#REF!)</f>
        <v>#REF!</v>
      </c>
      <c r="W15" s="115">
        <f>'תקציב מפורט לספר '!W154</f>
        <v>2350000</v>
      </c>
      <c r="X15" s="115">
        <f>'תקציב מפורט לספר '!X154</f>
        <v>234000</v>
      </c>
      <c r="Y15" s="115">
        <f>'תקציב מפורט לספר '!Y154</f>
        <v>0</v>
      </c>
      <c r="Z15" s="115">
        <f>'תקציב מפורט לספר '!Z154</f>
        <v>0</v>
      </c>
      <c r="AA15" s="115">
        <f>'תקציב מפורט לספר '!AA154</f>
        <v>2116000</v>
      </c>
      <c r="AB15" s="115">
        <f>'תקציב מפורט לספר '!AB154</f>
        <v>0</v>
      </c>
      <c r="AC15" s="115">
        <f>'תקציב מפורט לספר '!AC154</f>
        <v>1180000</v>
      </c>
      <c r="AD15" s="115">
        <f>'תקציב מפורט לספר '!AD154</f>
        <v>0</v>
      </c>
      <c r="AE15" s="115">
        <f>'תקציב מפורט לספר '!AE154</f>
        <v>0</v>
      </c>
      <c r="AF15" s="115">
        <f>'תקציב מפורט לספר '!AF154</f>
        <v>0</v>
      </c>
      <c r="AG15" s="115">
        <f>'תקציב מפורט לספר '!AG154</f>
        <v>1180000</v>
      </c>
      <c r="AH15" s="119">
        <f>'תקציב מפורט לספר '!AH154</f>
        <v>0</v>
      </c>
      <c r="AI15" s="115" t="e">
        <f>SUM(#REF!)</f>
        <v>#REF!</v>
      </c>
      <c r="AJ15" s="120" t="e">
        <f>SUM(#REF!)</f>
        <v>#REF!</v>
      </c>
      <c r="AK15" s="120" t="e">
        <f>SUM(#REF!)</f>
        <v>#REF!</v>
      </c>
      <c r="AL15" s="120" t="e">
        <f>SUM(#REF!)</f>
        <v>#REF!</v>
      </c>
      <c r="AM15" s="117" t="e">
        <f>SUM(#REF!)</f>
        <v>#REF!</v>
      </c>
      <c r="AN15" s="119" t="e">
        <f>SUM(#REF!)</f>
        <v>#REF!</v>
      </c>
      <c r="AO15" s="39" t="e">
        <f>SUM(#REF!)</f>
        <v>#REF!</v>
      </c>
      <c r="AP15" s="10" t="e">
        <f>SUM(#REF!)</f>
        <v>#REF!</v>
      </c>
      <c r="AQ15" s="10" t="e">
        <f>SUM(#REF!)</f>
        <v>#REF!</v>
      </c>
      <c r="AR15" s="10" t="e">
        <f>SUM(#REF!)</f>
        <v>#REF!</v>
      </c>
      <c r="AS15" s="10" t="e">
        <f>SUM(#REF!)</f>
        <v>#REF!</v>
      </c>
      <c r="AT15" s="10" t="e">
        <f>SUM(#REF!)</f>
        <v>#REF!</v>
      </c>
      <c r="AU15" s="10" t="e">
        <f>SUM(#REF!)</f>
        <v>#REF!</v>
      </c>
      <c r="AV15" s="10" t="e">
        <f>SUM(#REF!)</f>
        <v>#REF!</v>
      </c>
      <c r="AW15" s="10" t="e">
        <f>AP15-AQ15-AV15</f>
        <v>#REF!</v>
      </c>
      <c r="AY15" s="11" t="e">
        <f t="shared" si="0"/>
        <v>#REF!</v>
      </c>
    </row>
    <row r="16" spans="5:51" ht="60" customHeight="1" x14ac:dyDescent="0.2">
      <c r="E16" s="149"/>
      <c r="F16" s="127" t="s">
        <v>83</v>
      </c>
      <c r="G16" s="118" t="e">
        <f>SUM(#REF!)</f>
        <v>#REF!</v>
      </c>
      <c r="H16" s="116" t="e">
        <f>SUM(#REF!)</f>
        <v>#REF!</v>
      </c>
      <c r="I16" s="115" t="e">
        <f>SUM(#REF!)</f>
        <v>#REF!</v>
      </c>
      <c r="J16" s="117" t="e">
        <f>SUM(#REF!)</f>
        <v>#REF!</v>
      </c>
      <c r="K16" s="115" t="e">
        <f>SUM(#REF!)</f>
        <v>#REF!</v>
      </c>
      <c r="L16" s="117" t="e">
        <f>SUM(#REF!)</f>
        <v>#REF!</v>
      </c>
      <c r="M16" s="115" t="e">
        <f>SUM(#REF!)</f>
        <v>#REF!</v>
      </c>
      <c r="N16" s="117" t="e">
        <f>SUM(#REF!)</f>
        <v>#REF!</v>
      </c>
      <c r="O16" s="115" t="e">
        <f>SUM(#REF!)</f>
        <v>#REF!</v>
      </c>
      <c r="P16" s="117" t="e">
        <f>SUM(#REF!)</f>
        <v>#REF!</v>
      </c>
      <c r="Q16" s="115" t="e">
        <f>SUM(#REF!)</f>
        <v>#REF!</v>
      </c>
      <c r="R16" s="117" t="e">
        <f>SUM(#REF!)</f>
        <v>#REF!</v>
      </c>
      <c r="S16" s="118" t="e">
        <f>SUM(#REF!)</f>
        <v>#REF!</v>
      </c>
      <c r="T16" s="120" t="e">
        <f>SUM(#REF!)</f>
        <v>#REF!</v>
      </c>
      <c r="U16" s="116" t="e">
        <f>SUM(#REF!)</f>
        <v>#REF!</v>
      </c>
      <c r="V16" s="119" t="e">
        <f>SUM(#REF!)</f>
        <v>#REF!</v>
      </c>
      <c r="W16" s="115">
        <f>'תקציב מפורט לספר '!W157</f>
        <v>300000</v>
      </c>
      <c r="X16" s="115">
        <f>'תקציב מפורט לספר '!X157</f>
        <v>150000</v>
      </c>
      <c r="Y16" s="115">
        <f>'תקציב מפורט לספר '!Y157</f>
        <v>0</v>
      </c>
      <c r="Z16" s="115">
        <f>'תקציב מפורט לספר '!Z157</f>
        <v>0</v>
      </c>
      <c r="AA16" s="115">
        <f>'תקציב מפורט לספר '!AA157</f>
        <v>150000</v>
      </c>
      <c r="AB16" s="115">
        <f>'תקציב מפורט לספר '!AB157</f>
        <v>0</v>
      </c>
      <c r="AC16" s="115">
        <f>'תקציב מפורט לספר '!AC157</f>
        <v>0</v>
      </c>
      <c r="AD16" s="115">
        <f>'תקציב מפורט לספר '!AD157</f>
        <v>0</v>
      </c>
      <c r="AE16" s="115">
        <f>'תקציב מפורט לספר '!AE157</f>
        <v>0</v>
      </c>
      <c r="AF16" s="115">
        <f>'תקציב מפורט לספר '!AF157</f>
        <v>0</v>
      </c>
      <c r="AG16" s="115">
        <f>'תקציב מפורט לספר '!AG157</f>
        <v>0</v>
      </c>
      <c r="AH16" s="119">
        <f>'תקציב מפורט לספר '!AH157</f>
        <v>0</v>
      </c>
      <c r="AI16" s="115" t="e">
        <f>SUM(#REF!)</f>
        <v>#REF!</v>
      </c>
      <c r="AJ16" s="120" t="e">
        <f>SUM(#REF!)</f>
        <v>#REF!</v>
      </c>
      <c r="AK16" s="120" t="e">
        <f>SUM(#REF!)</f>
        <v>#REF!</v>
      </c>
      <c r="AL16" s="120" t="e">
        <f>SUM(#REF!)</f>
        <v>#REF!</v>
      </c>
      <c r="AM16" s="117" t="e">
        <f>SUM(#REF!)</f>
        <v>#REF!</v>
      </c>
      <c r="AN16" s="119" t="e">
        <f>SUM(#REF!)</f>
        <v>#REF!</v>
      </c>
      <c r="AO16" s="39" t="e">
        <f>SUM(#REF!)</f>
        <v>#REF!</v>
      </c>
      <c r="AP16" s="10" t="e">
        <f>SUM(#REF!)</f>
        <v>#REF!</v>
      </c>
      <c r="AQ16" s="10" t="e">
        <f>SUM(#REF!)</f>
        <v>#REF!</v>
      </c>
      <c r="AR16" s="10" t="e">
        <f>SUM(#REF!)</f>
        <v>#REF!</v>
      </c>
      <c r="AS16" s="10" t="e">
        <f>SUM(#REF!)</f>
        <v>#REF!</v>
      </c>
      <c r="AT16" s="10" t="e">
        <f>SUM(#REF!)</f>
        <v>#REF!</v>
      </c>
      <c r="AU16" s="10" t="e">
        <f>SUM(#REF!)</f>
        <v>#REF!</v>
      </c>
      <c r="AV16" s="10" t="e">
        <f>SUM(#REF!)</f>
        <v>#REF!</v>
      </c>
      <c r="AW16" s="10" t="e">
        <f>AP16-AQ16-AV16</f>
        <v>#REF!</v>
      </c>
      <c r="AY16" s="11" t="e">
        <f t="shared" si="0"/>
        <v>#REF!</v>
      </c>
    </row>
    <row r="17" spans="5:56" ht="60" customHeight="1" x14ac:dyDescent="0.2">
      <c r="E17" s="149"/>
      <c r="F17" s="127" t="s">
        <v>87</v>
      </c>
      <c r="G17" s="118" t="e">
        <f>SUM(#REF!)</f>
        <v>#REF!</v>
      </c>
      <c r="H17" s="116" t="e">
        <f>SUM(#REF!)</f>
        <v>#REF!</v>
      </c>
      <c r="I17" s="115" t="e">
        <f>SUM(#REF!)</f>
        <v>#REF!</v>
      </c>
      <c r="J17" s="117" t="e">
        <f>SUM(#REF!)</f>
        <v>#REF!</v>
      </c>
      <c r="K17" s="115" t="e">
        <f>SUM(#REF!)</f>
        <v>#REF!</v>
      </c>
      <c r="L17" s="117" t="e">
        <f>SUM(#REF!)</f>
        <v>#REF!</v>
      </c>
      <c r="M17" s="115" t="e">
        <f>SUM(#REF!)</f>
        <v>#REF!</v>
      </c>
      <c r="N17" s="117" t="e">
        <f>SUM(#REF!)</f>
        <v>#REF!</v>
      </c>
      <c r="O17" s="115" t="e">
        <f>SUM(#REF!)</f>
        <v>#REF!</v>
      </c>
      <c r="P17" s="117" t="e">
        <f>SUM(#REF!)</f>
        <v>#REF!</v>
      </c>
      <c r="Q17" s="115" t="e">
        <f>SUM(#REF!)</f>
        <v>#REF!</v>
      </c>
      <c r="R17" s="117" t="e">
        <f>SUM(#REF!)</f>
        <v>#REF!</v>
      </c>
      <c r="S17" s="118" t="e">
        <f>SUM(#REF!)</f>
        <v>#REF!</v>
      </c>
      <c r="T17" s="120" t="e">
        <f>SUM(#REF!)</f>
        <v>#REF!</v>
      </c>
      <c r="U17" s="116" t="e">
        <f>SUM(#REF!)</f>
        <v>#REF!</v>
      </c>
      <c r="V17" s="119" t="e">
        <f>SUM(#REF!)</f>
        <v>#REF!</v>
      </c>
      <c r="W17" s="115">
        <f>'תקציב מפורט לספר '!W162</f>
        <v>570000</v>
      </c>
      <c r="X17" s="115">
        <f>'תקציב מפורט לספר '!X162</f>
        <v>250000</v>
      </c>
      <c r="Y17" s="115">
        <f>'תקציב מפורט לספר '!Y162</f>
        <v>0</v>
      </c>
      <c r="Z17" s="115">
        <f>'תקציב מפורט לספר '!Z162</f>
        <v>0</v>
      </c>
      <c r="AA17" s="115">
        <f>'תקציב מפורט לספר '!AA162</f>
        <v>320000</v>
      </c>
      <c r="AB17" s="115">
        <f>'תקציב מפורט לספר '!AB162</f>
        <v>0</v>
      </c>
      <c r="AC17" s="115">
        <f>'תקציב מפורט לספר '!AC162</f>
        <v>0</v>
      </c>
      <c r="AD17" s="115">
        <f>'תקציב מפורט לספר '!AD162</f>
        <v>0</v>
      </c>
      <c r="AE17" s="115">
        <f>'תקציב מפורט לספר '!AE162</f>
        <v>0</v>
      </c>
      <c r="AF17" s="115">
        <f>'תקציב מפורט לספר '!AF162</f>
        <v>0</v>
      </c>
      <c r="AG17" s="115">
        <f>'תקציב מפורט לספר '!AG162</f>
        <v>0</v>
      </c>
      <c r="AH17" s="119">
        <f>'תקציב מפורט לספר '!AH162</f>
        <v>0</v>
      </c>
      <c r="AI17" s="115" t="e">
        <f>SUM(#REF!)</f>
        <v>#REF!</v>
      </c>
      <c r="AJ17" s="120" t="e">
        <f>SUM(#REF!)</f>
        <v>#REF!</v>
      </c>
      <c r="AK17" s="120" t="e">
        <f>SUM(#REF!)</f>
        <v>#REF!</v>
      </c>
      <c r="AL17" s="120" t="e">
        <f>SUM(#REF!)</f>
        <v>#REF!</v>
      </c>
      <c r="AM17" s="117" t="e">
        <f>SUM(#REF!)</f>
        <v>#REF!</v>
      </c>
      <c r="AN17" s="119" t="e">
        <f>SUM(#REF!)</f>
        <v>#REF!</v>
      </c>
      <c r="AO17" s="39" t="e">
        <f>SUM(#REF!)</f>
        <v>#REF!</v>
      </c>
      <c r="AP17" s="10" t="e">
        <f>SUM(#REF!)</f>
        <v>#REF!</v>
      </c>
      <c r="AQ17" s="10" t="e">
        <f>SUM(#REF!)</f>
        <v>#REF!</v>
      </c>
      <c r="AR17" s="10" t="e">
        <f>SUM(#REF!)</f>
        <v>#REF!</v>
      </c>
      <c r="AS17" s="10" t="e">
        <f>SUM(#REF!)</f>
        <v>#REF!</v>
      </c>
      <c r="AT17" s="10" t="e">
        <f>SUM(#REF!)</f>
        <v>#REF!</v>
      </c>
      <c r="AU17" s="10" t="e">
        <f>SUM(#REF!)</f>
        <v>#REF!</v>
      </c>
      <c r="AV17" s="10" t="e">
        <f>SUM(#REF!)</f>
        <v>#REF!</v>
      </c>
      <c r="AW17" s="10" t="e">
        <f>AP17-AQ17-AV17</f>
        <v>#REF!</v>
      </c>
      <c r="AY17" s="11" t="e">
        <f t="shared" si="0"/>
        <v>#REF!</v>
      </c>
    </row>
    <row r="18" spans="5:56" ht="60" customHeight="1" x14ac:dyDescent="0.2">
      <c r="E18" s="149"/>
      <c r="F18" s="127" t="s">
        <v>92</v>
      </c>
      <c r="G18" s="118" t="e">
        <f>SUM(#REF!)</f>
        <v>#REF!</v>
      </c>
      <c r="H18" s="116" t="e">
        <f>SUM(#REF!)</f>
        <v>#REF!</v>
      </c>
      <c r="I18" s="115" t="e">
        <f>SUM(#REF!)</f>
        <v>#REF!</v>
      </c>
      <c r="J18" s="117" t="e">
        <f>SUM(#REF!)</f>
        <v>#REF!</v>
      </c>
      <c r="K18" s="115" t="e">
        <f>SUM(#REF!)</f>
        <v>#REF!</v>
      </c>
      <c r="L18" s="117" t="e">
        <f>SUM(#REF!)</f>
        <v>#REF!</v>
      </c>
      <c r="M18" s="115" t="e">
        <f>SUM(#REF!)</f>
        <v>#REF!</v>
      </c>
      <c r="N18" s="117" t="e">
        <f>SUM(#REF!)</f>
        <v>#REF!</v>
      </c>
      <c r="O18" s="115" t="e">
        <f>SUM(#REF!)</f>
        <v>#REF!</v>
      </c>
      <c r="P18" s="117" t="e">
        <f>SUM(#REF!)</f>
        <v>#REF!</v>
      </c>
      <c r="Q18" s="115" t="e">
        <f>SUM(#REF!)</f>
        <v>#REF!</v>
      </c>
      <c r="R18" s="117" t="e">
        <f>SUM(#REF!)</f>
        <v>#REF!</v>
      </c>
      <c r="S18" s="118" t="e">
        <f>SUM(#REF!)</f>
        <v>#REF!</v>
      </c>
      <c r="T18" s="120" t="e">
        <f>SUM(#REF!)</f>
        <v>#REF!</v>
      </c>
      <c r="U18" s="116" t="e">
        <f>SUM(#REF!)</f>
        <v>#REF!</v>
      </c>
      <c r="V18" s="119" t="e">
        <f>SUM(#REF!)</f>
        <v>#REF!</v>
      </c>
      <c r="W18" s="115">
        <f>'תקציב מפורט לספר '!W169</f>
        <v>4480000</v>
      </c>
      <c r="X18" s="115">
        <f>'תקציב מפורט לספר '!X169</f>
        <v>3227000</v>
      </c>
      <c r="Y18" s="115">
        <f>'תקציב מפורט לספר '!Y169</f>
        <v>0</v>
      </c>
      <c r="Z18" s="115">
        <f>'תקציב מפורט לספר '!Z169</f>
        <v>0</v>
      </c>
      <c r="AA18" s="115">
        <f>'תקציב מפורט לספר '!AA169</f>
        <v>1253000</v>
      </c>
      <c r="AB18" s="115">
        <f>'תקציב מפורט לספר '!AB169</f>
        <v>0</v>
      </c>
      <c r="AC18" s="115">
        <f>'תקציב מפורט לספר '!AC169</f>
        <v>0</v>
      </c>
      <c r="AD18" s="115">
        <f>'תקציב מפורט לספר '!AD169</f>
        <v>0</v>
      </c>
      <c r="AE18" s="115">
        <f>'תקציב מפורט לספר '!AE169</f>
        <v>0</v>
      </c>
      <c r="AF18" s="115">
        <f>'תקציב מפורט לספר '!AF169</f>
        <v>0</v>
      </c>
      <c r="AG18" s="115">
        <f>'תקציב מפורט לספר '!AG169</f>
        <v>0</v>
      </c>
      <c r="AH18" s="119">
        <f>'תקציב מפורט לספר '!AH169</f>
        <v>0</v>
      </c>
      <c r="AI18" s="115" t="e">
        <f>SUM(#REF!)</f>
        <v>#REF!</v>
      </c>
      <c r="AJ18" s="120" t="e">
        <f>SUM(#REF!)</f>
        <v>#REF!</v>
      </c>
      <c r="AK18" s="120" t="e">
        <f>SUM(#REF!)</f>
        <v>#REF!</v>
      </c>
      <c r="AL18" s="120" t="e">
        <f>SUM(#REF!)</f>
        <v>#REF!</v>
      </c>
      <c r="AM18" s="117" t="e">
        <f>SUM(#REF!)</f>
        <v>#REF!</v>
      </c>
      <c r="AN18" s="119" t="e">
        <f>SUM(#REF!)</f>
        <v>#REF!</v>
      </c>
      <c r="AO18" s="39" t="e">
        <f>SUM(#REF!)</f>
        <v>#REF!</v>
      </c>
      <c r="AP18" s="10" t="e">
        <f>SUM(#REF!)</f>
        <v>#REF!</v>
      </c>
      <c r="AQ18" s="10" t="e">
        <f>SUM(#REF!)</f>
        <v>#REF!</v>
      </c>
      <c r="AR18" s="10" t="e">
        <f>SUM(#REF!)</f>
        <v>#REF!</v>
      </c>
      <c r="AS18" s="10" t="e">
        <f>SUM(#REF!)</f>
        <v>#REF!</v>
      </c>
      <c r="AT18" s="10" t="e">
        <f>SUM(#REF!)</f>
        <v>#REF!</v>
      </c>
      <c r="AU18" s="10" t="e">
        <f>SUM(#REF!)</f>
        <v>#REF!</v>
      </c>
      <c r="AV18" s="10" t="e">
        <f>SUM(#REF!)</f>
        <v>#REF!</v>
      </c>
      <c r="AW18" s="10" t="e">
        <f>AP18-AQ18-AV18</f>
        <v>#REF!</v>
      </c>
      <c r="AY18" s="11" t="e">
        <f t="shared" si="0"/>
        <v>#REF!</v>
      </c>
    </row>
    <row r="19" spans="5:56" ht="60" customHeight="1" x14ac:dyDescent="0.2">
      <c r="E19" s="149"/>
      <c r="F19" s="127" t="s">
        <v>98</v>
      </c>
      <c r="G19" s="118" t="e">
        <f>SUM(#REF!)</f>
        <v>#REF!</v>
      </c>
      <c r="H19" s="116" t="e">
        <f>SUM(#REF!)</f>
        <v>#REF!</v>
      </c>
      <c r="I19" s="115" t="e">
        <f>SUM(#REF!)</f>
        <v>#REF!</v>
      </c>
      <c r="J19" s="117" t="e">
        <f>SUM(#REF!)</f>
        <v>#REF!</v>
      </c>
      <c r="K19" s="115" t="e">
        <f>SUM(#REF!)</f>
        <v>#REF!</v>
      </c>
      <c r="L19" s="117" t="e">
        <f>SUM(#REF!)</f>
        <v>#REF!</v>
      </c>
      <c r="M19" s="115" t="e">
        <f>SUM(#REF!)</f>
        <v>#REF!</v>
      </c>
      <c r="N19" s="117" t="e">
        <f>SUM(#REF!)</f>
        <v>#REF!</v>
      </c>
      <c r="O19" s="115" t="e">
        <f>SUM(#REF!)</f>
        <v>#REF!</v>
      </c>
      <c r="P19" s="117" t="e">
        <f>SUM(#REF!)</f>
        <v>#REF!</v>
      </c>
      <c r="Q19" s="115" t="e">
        <f>SUM(#REF!)</f>
        <v>#REF!</v>
      </c>
      <c r="R19" s="117" t="e">
        <f>SUM(#REF!)</f>
        <v>#REF!</v>
      </c>
      <c r="S19" s="118" t="e">
        <f>SUM(#REF!)</f>
        <v>#REF!</v>
      </c>
      <c r="T19" s="120" t="e">
        <f>SUM(#REF!)</f>
        <v>#REF!</v>
      </c>
      <c r="U19" s="116" t="e">
        <f>SUM(#REF!)</f>
        <v>#REF!</v>
      </c>
      <c r="V19" s="119" t="e">
        <f>SUM(#REF!)</f>
        <v>#REF!</v>
      </c>
      <c r="W19" s="115">
        <f>'תקציב מפורט לספר '!W193</f>
        <v>4700000</v>
      </c>
      <c r="X19" s="115">
        <f>'תקציב מפורט לספר '!X193</f>
        <v>0</v>
      </c>
      <c r="Y19" s="115">
        <f>'תקציב מפורט לספר '!Y193</f>
        <v>350000</v>
      </c>
      <c r="Z19" s="115">
        <f>'תקציב מפורט לספר '!Z193</f>
        <v>0</v>
      </c>
      <c r="AA19" s="115">
        <f>'תקציב מפורט לספר '!AA193</f>
        <v>3150000</v>
      </c>
      <c r="AB19" s="115">
        <f>'תקציב מפורט לספר '!AB193</f>
        <v>1200000</v>
      </c>
      <c r="AC19" s="115">
        <f>'תקציב מפורט לספר '!AC193</f>
        <v>7900000</v>
      </c>
      <c r="AD19" s="115">
        <f>'תקציב מפורט לספר '!AD193</f>
        <v>0</v>
      </c>
      <c r="AE19" s="115">
        <f>'תקציב מפורט לספר '!AE193</f>
        <v>0</v>
      </c>
      <c r="AF19" s="115">
        <f>'תקציב מפורט לספר '!AF193</f>
        <v>0</v>
      </c>
      <c r="AG19" s="115">
        <f>'תקציב מפורט לספר '!AG193</f>
        <v>7050000</v>
      </c>
      <c r="AH19" s="119">
        <f>'תקציב מפורט לספר '!AH193</f>
        <v>850000</v>
      </c>
      <c r="AI19" s="115" t="e">
        <f>SUM(#REF!)</f>
        <v>#REF!</v>
      </c>
      <c r="AJ19" s="120" t="e">
        <f>SUM(#REF!)</f>
        <v>#REF!</v>
      </c>
      <c r="AK19" s="120" t="e">
        <f>SUM(#REF!)</f>
        <v>#REF!</v>
      </c>
      <c r="AL19" s="120" t="e">
        <f>SUM(#REF!)</f>
        <v>#REF!</v>
      </c>
      <c r="AM19" s="117" t="e">
        <f>SUM(#REF!)</f>
        <v>#REF!</v>
      </c>
      <c r="AN19" s="119" t="e">
        <f>SUM(#REF!)</f>
        <v>#REF!</v>
      </c>
      <c r="AO19" s="39" t="e">
        <f>SUM(#REF!)</f>
        <v>#REF!</v>
      </c>
      <c r="AP19" s="10" t="e">
        <f>SUM(#REF!)</f>
        <v>#REF!</v>
      </c>
      <c r="AQ19" s="10" t="e">
        <f>SUM(#REF!)</f>
        <v>#REF!</v>
      </c>
      <c r="AR19" s="10" t="e">
        <f>SUM(#REF!)</f>
        <v>#REF!</v>
      </c>
      <c r="AS19" s="10" t="e">
        <f>SUM(#REF!)</f>
        <v>#REF!</v>
      </c>
      <c r="AT19" s="10" t="e">
        <f>SUM(#REF!)</f>
        <v>#REF!</v>
      </c>
      <c r="AU19" s="10" t="e">
        <f>SUM(#REF!)</f>
        <v>#REF!</v>
      </c>
      <c r="AV19" s="10" t="e">
        <f>SUM(#REF!)</f>
        <v>#REF!</v>
      </c>
      <c r="AW19" s="10" t="e">
        <f t="shared" ref="AW19:AW24" si="4">AP19-AQ19-AV19</f>
        <v>#REF!</v>
      </c>
      <c r="AY19" s="11" t="e">
        <f t="shared" si="0"/>
        <v>#REF!</v>
      </c>
    </row>
    <row r="20" spans="5:56" ht="60" customHeight="1" x14ac:dyDescent="0.2">
      <c r="E20" s="149"/>
      <c r="F20" s="127" t="s">
        <v>101</v>
      </c>
      <c r="G20" s="118" t="e">
        <f>SUM(#REF!)</f>
        <v>#REF!</v>
      </c>
      <c r="H20" s="116" t="e">
        <f>SUM(#REF!)</f>
        <v>#REF!</v>
      </c>
      <c r="I20" s="115" t="e">
        <f>SUM(#REF!)</f>
        <v>#REF!</v>
      </c>
      <c r="J20" s="117" t="e">
        <f>SUM(#REF!)</f>
        <v>#REF!</v>
      </c>
      <c r="K20" s="115" t="e">
        <f>SUM(#REF!)</f>
        <v>#REF!</v>
      </c>
      <c r="L20" s="117" t="e">
        <f>SUM(#REF!)</f>
        <v>#REF!</v>
      </c>
      <c r="M20" s="115" t="e">
        <f>SUM(#REF!)</f>
        <v>#REF!</v>
      </c>
      <c r="N20" s="117" t="e">
        <f>SUM(#REF!)</f>
        <v>#REF!</v>
      </c>
      <c r="O20" s="115" t="e">
        <f>SUM(#REF!)</f>
        <v>#REF!</v>
      </c>
      <c r="P20" s="117" t="e">
        <f>SUM(#REF!)</f>
        <v>#REF!</v>
      </c>
      <c r="Q20" s="115" t="e">
        <f>SUM(#REF!)</f>
        <v>#REF!</v>
      </c>
      <c r="R20" s="117" t="e">
        <f>SUM(#REF!)</f>
        <v>#REF!</v>
      </c>
      <c r="S20" s="118" t="e">
        <f>SUM(#REF!)</f>
        <v>#REF!</v>
      </c>
      <c r="T20" s="120" t="e">
        <f>SUM(#REF!)</f>
        <v>#REF!</v>
      </c>
      <c r="U20" s="116" t="e">
        <f>SUM(#REF!)</f>
        <v>#REF!</v>
      </c>
      <c r="V20" s="119" t="e">
        <f>SUM(#REF!)</f>
        <v>#REF!</v>
      </c>
      <c r="W20" s="115">
        <f>'תקציב מפורט לספר '!W200</f>
        <v>1255000</v>
      </c>
      <c r="X20" s="115">
        <f>'תקציב מפורט לספר '!X200</f>
        <v>0</v>
      </c>
      <c r="Y20" s="115">
        <f>'תקציב מפורט לספר '!Y200</f>
        <v>0</v>
      </c>
      <c r="Z20" s="115">
        <f>'תקציב מפורט לספר '!Z200</f>
        <v>0</v>
      </c>
      <c r="AA20" s="115">
        <f>'תקציב מפורט לספר '!AA200</f>
        <v>705000</v>
      </c>
      <c r="AB20" s="115">
        <f>'תקציב מפורט לספר '!AB200</f>
        <v>550000</v>
      </c>
      <c r="AC20" s="115">
        <f>'תקציב מפורט לספר '!AC200</f>
        <v>3850000</v>
      </c>
      <c r="AD20" s="115">
        <f>'תקציב מפורט לספר '!AD200</f>
        <v>0</v>
      </c>
      <c r="AE20" s="115">
        <f>'תקציב מפורט לספר '!AE200</f>
        <v>0</v>
      </c>
      <c r="AF20" s="115">
        <f>'תקציב מפורט לספר '!AF200</f>
        <v>0</v>
      </c>
      <c r="AG20" s="115">
        <f>'תקציב מפורט לספר '!AG200</f>
        <v>1925000</v>
      </c>
      <c r="AH20" s="119">
        <f>'תקציב מפורט לספר '!AH200</f>
        <v>1925000</v>
      </c>
      <c r="AI20" s="115" t="e">
        <f>SUM(#REF!)</f>
        <v>#REF!</v>
      </c>
      <c r="AJ20" s="120" t="e">
        <f>SUM(#REF!)</f>
        <v>#REF!</v>
      </c>
      <c r="AK20" s="120" t="e">
        <f>SUM(#REF!)</f>
        <v>#REF!</v>
      </c>
      <c r="AL20" s="120" t="e">
        <f>SUM(#REF!)</f>
        <v>#REF!</v>
      </c>
      <c r="AM20" s="117" t="e">
        <f>SUM(#REF!)</f>
        <v>#REF!</v>
      </c>
      <c r="AN20" s="119" t="e">
        <f>SUM(#REF!)</f>
        <v>#REF!</v>
      </c>
      <c r="AO20" s="39" t="e">
        <f>SUM(#REF!)</f>
        <v>#REF!</v>
      </c>
      <c r="AP20" s="10" t="e">
        <f>SUM(#REF!)</f>
        <v>#REF!</v>
      </c>
      <c r="AQ20" s="10" t="e">
        <f>SUM(#REF!)</f>
        <v>#REF!</v>
      </c>
      <c r="AR20" s="10" t="e">
        <f>SUM(#REF!)</f>
        <v>#REF!</v>
      </c>
      <c r="AS20" s="10" t="e">
        <f>SUM(#REF!)</f>
        <v>#REF!</v>
      </c>
      <c r="AT20" s="10" t="e">
        <f>SUM(#REF!)</f>
        <v>#REF!</v>
      </c>
      <c r="AU20" s="10" t="e">
        <f>SUM(#REF!)</f>
        <v>#REF!</v>
      </c>
      <c r="AV20" s="10" t="e">
        <f>SUM(#REF!)</f>
        <v>#REF!</v>
      </c>
      <c r="AW20" s="10" t="e">
        <f t="shared" si="4"/>
        <v>#REF!</v>
      </c>
      <c r="AY20" s="11" t="e">
        <f t="shared" si="0"/>
        <v>#REF!</v>
      </c>
    </row>
    <row r="21" spans="5:56" ht="60" customHeight="1" x14ac:dyDescent="0.2">
      <c r="E21" s="150">
        <v>3</v>
      </c>
      <c r="F21" s="127" t="s">
        <v>102</v>
      </c>
      <c r="G21" s="118" t="e">
        <f>G20+G19+#REF!</f>
        <v>#REF!</v>
      </c>
      <c r="H21" s="116" t="e">
        <f>H20+H19+#REF!</f>
        <v>#REF!</v>
      </c>
      <c r="I21" s="115" t="e">
        <f>I20+I19+#REF!</f>
        <v>#REF!</v>
      </c>
      <c r="J21" s="117" t="e">
        <f>J20+J19+#REF!</f>
        <v>#REF!</v>
      </c>
      <c r="K21" s="115" t="e">
        <f>K20+K19+#REF!</f>
        <v>#REF!</v>
      </c>
      <c r="L21" s="117" t="e">
        <f>L20+L19+#REF!</f>
        <v>#REF!</v>
      </c>
      <c r="M21" s="115" t="e">
        <f>M20+M19+#REF!</f>
        <v>#REF!</v>
      </c>
      <c r="N21" s="117" t="e">
        <f>N20+N19+#REF!</f>
        <v>#REF!</v>
      </c>
      <c r="O21" s="115" t="e">
        <f>O20+O19+#REF!</f>
        <v>#REF!</v>
      </c>
      <c r="P21" s="117" t="e">
        <f>P20+P19+#REF!</f>
        <v>#REF!</v>
      </c>
      <c r="Q21" s="115" t="e">
        <f>Q20+Q19+#REF!</f>
        <v>#REF!</v>
      </c>
      <c r="R21" s="117" t="e">
        <f>R20+R19+#REF!</f>
        <v>#REF!</v>
      </c>
      <c r="S21" s="118" t="e">
        <f>S20+S19+#REF!</f>
        <v>#REF!</v>
      </c>
      <c r="T21" s="120" t="e">
        <f>T20+T19+#REF!</f>
        <v>#REF!</v>
      </c>
      <c r="U21" s="116" t="e">
        <f>U20+U19+#REF!</f>
        <v>#REF!</v>
      </c>
      <c r="V21" s="119" t="e">
        <f>V20+V19+#REF!</f>
        <v>#REF!</v>
      </c>
      <c r="W21" s="115">
        <f>'תקציב מפורט לספר '!W201</f>
        <v>44375000</v>
      </c>
      <c r="X21" s="115">
        <f>'תקציב מפורט לספר '!X201</f>
        <v>7611000</v>
      </c>
      <c r="Y21" s="115">
        <f>'תקציב מפורט לספר '!Y201</f>
        <v>2050000</v>
      </c>
      <c r="Z21" s="115">
        <f>'תקציב מפורט לספר '!Z201</f>
        <v>0</v>
      </c>
      <c r="AA21" s="115">
        <f>'תקציב מפורט לספר '!AA201</f>
        <v>20089000</v>
      </c>
      <c r="AB21" s="115">
        <f>'תקציב מפורט לספר '!AB201</f>
        <v>14625000</v>
      </c>
      <c r="AC21" s="115">
        <f>'תקציב מפורט לספר '!AC201</f>
        <v>22930000</v>
      </c>
      <c r="AD21" s="115">
        <f>'תקציב מפורט לספר '!AD201</f>
        <v>0</v>
      </c>
      <c r="AE21" s="115">
        <f>'תקציב מפורט לספר '!AE201</f>
        <v>0</v>
      </c>
      <c r="AF21" s="115">
        <f>'תקציב מפורט לספר '!AF201</f>
        <v>0</v>
      </c>
      <c r="AG21" s="115">
        <f>'תקציב מפורט לספר '!AG201</f>
        <v>15580000</v>
      </c>
      <c r="AH21" s="119">
        <f>'תקציב מפורט לספר '!AH201</f>
        <v>7350000</v>
      </c>
      <c r="AI21" s="115" t="e">
        <f>AI20+AI19+#REF!</f>
        <v>#REF!</v>
      </c>
      <c r="AJ21" s="120" t="e">
        <f>AJ20+AJ19+#REF!</f>
        <v>#REF!</v>
      </c>
      <c r="AK21" s="120" t="e">
        <f>AK20+AK19+#REF!</f>
        <v>#REF!</v>
      </c>
      <c r="AL21" s="120" t="e">
        <f>AL20+AL19+#REF!</f>
        <v>#REF!</v>
      </c>
      <c r="AM21" s="117" t="e">
        <f>AM20+AM19+#REF!</f>
        <v>#REF!</v>
      </c>
      <c r="AN21" s="119" t="e">
        <f>AN20+AN19+#REF!</f>
        <v>#REF!</v>
      </c>
      <c r="AO21" s="39" t="e">
        <f>AO20+AO19+#REF!</f>
        <v>#REF!</v>
      </c>
      <c r="AP21" s="10" t="e">
        <f>AP20+AP19+#REF!</f>
        <v>#REF!</v>
      </c>
      <c r="AQ21" s="10" t="e">
        <f>AQ20+AQ19+#REF!</f>
        <v>#REF!</v>
      </c>
      <c r="AR21" s="10" t="e">
        <f>AR20+AR19+#REF!</f>
        <v>#REF!</v>
      </c>
      <c r="AS21" s="10" t="e">
        <f>AS20+AS19+#REF!</f>
        <v>#REF!</v>
      </c>
      <c r="AT21" s="10" t="e">
        <f>AT20+AT19+#REF!</f>
        <v>#REF!</v>
      </c>
      <c r="AU21" s="10" t="e">
        <f>AU20+AU19+#REF!</f>
        <v>#REF!</v>
      </c>
      <c r="AV21" s="10" t="e">
        <f>AV20+AV19+#REF!</f>
        <v>#REF!</v>
      </c>
      <c r="AW21" s="10" t="e">
        <f t="shared" si="4"/>
        <v>#REF!</v>
      </c>
      <c r="AY21" s="11" t="e">
        <f t="shared" si="0"/>
        <v>#REF!</v>
      </c>
    </row>
    <row r="22" spans="5:56" ht="60" customHeight="1" x14ac:dyDescent="0.2">
      <c r="E22" s="149"/>
      <c r="F22" s="127" t="s">
        <v>108</v>
      </c>
      <c r="G22" s="118" t="e">
        <f>SUM(#REF!)</f>
        <v>#REF!</v>
      </c>
      <c r="H22" s="116" t="e">
        <f>SUM(#REF!)</f>
        <v>#REF!</v>
      </c>
      <c r="I22" s="115" t="e">
        <f>SUM(#REF!)</f>
        <v>#REF!</v>
      </c>
      <c r="J22" s="117" t="e">
        <f>SUM(#REF!)</f>
        <v>#REF!</v>
      </c>
      <c r="K22" s="115" t="e">
        <f>SUM(#REF!)</f>
        <v>#REF!</v>
      </c>
      <c r="L22" s="117" t="e">
        <f>SUM(#REF!)</f>
        <v>#REF!</v>
      </c>
      <c r="M22" s="115" t="e">
        <f>SUM(#REF!)</f>
        <v>#REF!</v>
      </c>
      <c r="N22" s="117" t="e">
        <f>SUM(#REF!)</f>
        <v>#REF!</v>
      </c>
      <c r="O22" s="115" t="e">
        <f>SUM(#REF!)</f>
        <v>#REF!</v>
      </c>
      <c r="P22" s="117" t="e">
        <f>SUM(#REF!)</f>
        <v>#REF!</v>
      </c>
      <c r="Q22" s="115" t="e">
        <f>SUM(#REF!)</f>
        <v>#REF!</v>
      </c>
      <c r="R22" s="117" t="e">
        <f>SUM(#REF!)</f>
        <v>#REF!</v>
      </c>
      <c r="S22" s="118" t="e">
        <f>SUM(#REF!)</f>
        <v>#REF!</v>
      </c>
      <c r="T22" s="120" t="e">
        <f>SUM(#REF!)</f>
        <v>#REF!</v>
      </c>
      <c r="U22" s="116" t="e">
        <f>SUM(#REF!)</f>
        <v>#REF!</v>
      </c>
      <c r="V22" s="119" t="e">
        <f>SUM(#REF!)</f>
        <v>#REF!</v>
      </c>
      <c r="W22" s="115">
        <f>'תקציב מפורט לספר '!W210</f>
        <v>2500000</v>
      </c>
      <c r="X22" s="115">
        <f>'תקציב מפורט לספר '!X210</f>
        <v>1200000</v>
      </c>
      <c r="Y22" s="115">
        <f>'תקציב מפורט לספר '!Y210</f>
        <v>200000</v>
      </c>
      <c r="Z22" s="115">
        <f>'תקציב מפורט לספר '!Z210</f>
        <v>30000</v>
      </c>
      <c r="AA22" s="115">
        <f>'תקציב מפורט לספר '!AA210</f>
        <v>820000</v>
      </c>
      <c r="AB22" s="115">
        <f>'תקציב מפורט לספר '!AB210</f>
        <v>250000</v>
      </c>
      <c r="AC22" s="115">
        <f>'תקציב מפורט לספר '!AC210</f>
        <v>3622000</v>
      </c>
      <c r="AD22" s="115">
        <f>'תקציב מפורט לספר '!AD210</f>
        <v>0</v>
      </c>
      <c r="AE22" s="115">
        <f>'תקציב מפורט לספר '!AE210</f>
        <v>400000</v>
      </c>
      <c r="AF22" s="115">
        <f>'תקציב מפורט לספר '!AF210</f>
        <v>0</v>
      </c>
      <c r="AG22" s="115">
        <f>'תקציב מפורט לספר '!AG210</f>
        <v>1676000</v>
      </c>
      <c r="AH22" s="119">
        <f>'תקציב מפורט לספר '!AH210</f>
        <v>1546000</v>
      </c>
      <c r="AI22" s="115" t="e">
        <f>SUM(#REF!)</f>
        <v>#REF!</v>
      </c>
      <c r="AJ22" s="120" t="e">
        <f>SUM(#REF!)</f>
        <v>#REF!</v>
      </c>
      <c r="AK22" s="120" t="e">
        <f>SUM(#REF!)</f>
        <v>#REF!</v>
      </c>
      <c r="AL22" s="120" t="e">
        <f>SUM(#REF!)</f>
        <v>#REF!</v>
      </c>
      <c r="AM22" s="117" t="e">
        <f>SUM(#REF!)</f>
        <v>#REF!</v>
      </c>
      <c r="AN22" s="119" t="e">
        <f>SUM(#REF!)</f>
        <v>#REF!</v>
      </c>
      <c r="AO22" s="39" t="e">
        <f>SUM(#REF!)</f>
        <v>#REF!</v>
      </c>
      <c r="AP22" s="10" t="e">
        <f>SUM(#REF!)</f>
        <v>#REF!</v>
      </c>
      <c r="AQ22" s="10" t="e">
        <f>SUM(#REF!)</f>
        <v>#REF!</v>
      </c>
      <c r="AR22" s="10" t="e">
        <f>SUM(#REF!)</f>
        <v>#REF!</v>
      </c>
      <c r="AS22" s="10" t="e">
        <f>SUM(#REF!)</f>
        <v>#REF!</v>
      </c>
      <c r="AT22" s="10" t="e">
        <f>SUM(#REF!)</f>
        <v>#REF!</v>
      </c>
      <c r="AU22" s="10" t="e">
        <f>SUM(#REF!)</f>
        <v>#REF!</v>
      </c>
      <c r="AV22" s="10" t="e">
        <f>SUM(#REF!)</f>
        <v>#REF!</v>
      </c>
      <c r="AW22" s="10" t="e">
        <f t="shared" si="4"/>
        <v>#REF!</v>
      </c>
      <c r="AY22" s="11" t="e">
        <f t="shared" si="0"/>
        <v>#REF!</v>
      </c>
      <c r="BC22" s="61"/>
    </row>
    <row r="23" spans="5:56" ht="60" customHeight="1" x14ac:dyDescent="0.2">
      <c r="E23" s="149"/>
      <c r="F23" s="127" t="s">
        <v>118</v>
      </c>
      <c r="G23" s="118" t="e">
        <f>SUM(#REF!)</f>
        <v>#REF!</v>
      </c>
      <c r="H23" s="116" t="e">
        <f>SUM(#REF!)</f>
        <v>#REF!</v>
      </c>
      <c r="I23" s="115" t="e">
        <f>SUM(#REF!)</f>
        <v>#REF!</v>
      </c>
      <c r="J23" s="117" t="e">
        <f>SUM(#REF!)</f>
        <v>#REF!</v>
      </c>
      <c r="K23" s="115" t="e">
        <f>SUM(#REF!)</f>
        <v>#REF!</v>
      </c>
      <c r="L23" s="117" t="e">
        <f>SUM(#REF!)</f>
        <v>#REF!</v>
      </c>
      <c r="M23" s="115" t="e">
        <f>SUM(#REF!)</f>
        <v>#REF!</v>
      </c>
      <c r="N23" s="117" t="e">
        <f>SUM(#REF!)</f>
        <v>#REF!</v>
      </c>
      <c r="O23" s="115" t="e">
        <f>SUM(#REF!)</f>
        <v>#REF!</v>
      </c>
      <c r="P23" s="117" t="e">
        <f>SUM(#REF!)</f>
        <v>#REF!</v>
      </c>
      <c r="Q23" s="115" t="e">
        <f>SUM(#REF!)</f>
        <v>#REF!</v>
      </c>
      <c r="R23" s="117" t="e">
        <f>SUM(#REF!)</f>
        <v>#REF!</v>
      </c>
      <c r="S23" s="118" t="e">
        <f>SUM(#REF!)</f>
        <v>#REF!</v>
      </c>
      <c r="T23" s="120" t="e">
        <f>SUM(#REF!)</f>
        <v>#REF!</v>
      </c>
      <c r="U23" s="116" t="e">
        <f>SUM(#REF!)</f>
        <v>#REF!</v>
      </c>
      <c r="V23" s="119" t="e">
        <f>SUM(#REF!)</f>
        <v>#REF!</v>
      </c>
      <c r="W23" s="115">
        <f>'תקציב מפורט לספר '!W239</f>
        <v>82570000</v>
      </c>
      <c r="X23" s="115">
        <f>'תקציב מפורט לספר '!X239</f>
        <v>0</v>
      </c>
      <c r="Y23" s="115">
        <f>'תקציב מפורט לספר '!Y239</f>
        <v>0</v>
      </c>
      <c r="Z23" s="115">
        <f>'תקציב מפורט לספר '!Z239</f>
        <v>0</v>
      </c>
      <c r="AA23" s="115">
        <f>'תקציב מפורט לספר '!AA239</f>
        <v>82570000</v>
      </c>
      <c r="AB23" s="115">
        <f>'תקציב מפורט לספר '!AB239</f>
        <v>0</v>
      </c>
      <c r="AC23" s="115">
        <f>'תקציב מפורט לספר '!AC239</f>
        <v>10980000</v>
      </c>
      <c r="AD23" s="115">
        <f>'תקציב מפורט לספר '!AD239</f>
        <v>0</v>
      </c>
      <c r="AE23" s="115">
        <f>'תקציב מפורט לספר '!AE239</f>
        <v>0</v>
      </c>
      <c r="AF23" s="115">
        <f>'תקציב מפורט לספר '!AF239</f>
        <v>0</v>
      </c>
      <c r="AG23" s="115">
        <f>'תקציב מפורט לספר '!AG239</f>
        <v>10980000</v>
      </c>
      <c r="AH23" s="119">
        <f>'תקציב מפורט לספר '!AH239</f>
        <v>0</v>
      </c>
      <c r="AI23" s="115" t="e">
        <f>SUM(#REF!)</f>
        <v>#REF!</v>
      </c>
      <c r="AJ23" s="120" t="e">
        <f>SUM(#REF!)</f>
        <v>#REF!</v>
      </c>
      <c r="AK23" s="120" t="e">
        <f>SUM(#REF!)</f>
        <v>#REF!</v>
      </c>
      <c r="AL23" s="120" t="e">
        <f>SUM(#REF!)</f>
        <v>#REF!</v>
      </c>
      <c r="AM23" s="117" t="e">
        <f>SUM(#REF!)</f>
        <v>#REF!</v>
      </c>
      <c r="AN23" s="119" t="e">
        <f>SUM(#REF!)</f>
        <v>#REF!</v>
      </c>
      <c r="AO23" s="39" t="e">
        <f>SUM(#REF!)</f>
        <v>#REF!</v>
      </c>
      <c r="AP23" s="10" t="e">
        <f>SUM(#REF!)</f>
        <v>#REF!</v>
      </c>
      <c r="AQ23" s="10" t="e">
        <f>SUM(#REF!)</f>
        <v>#REF!</v>
      </c>
      <c r="AR23" s="10" t="e">
        <f>SUM(#REF!)</f>
        <v>#REF!</v>
      </c>
      <c r="AS23" s="10" t="e">
        <f>SUM(#REF!)</f>
        <v>#REF!</v>
      </c>
      <c r="AT23" s="10" t="e">
        <f>SUM(#REF!)</f>
        <v>#REF!</v>
      </c>
      <c r="AU23" s="10" t="e">
        <f>SUM(#REF!)</f>
        <v>#REF!</v>
      </c>
      <c r="AV23" s="10" t="e">
        <f>SUM(#REF!)</f>
        <v>#REF!</v>
      </c>
      <c r="AW23" s="10" t="e">
        <f>SUM(#REF!)</f>
        <v>#REF!</v>
      </c>
      <c r="AY23" s="11" t="e">
        <f t="shared" si="0"/>
        <v>#REF!</v>
      </c>
    </row>
    <row r="24" spans="5:56" ht="60" customHeight="1" x14ac:dyDescent="0.2">
      <c r="E24" s="149"/>
      <c r="F24" s="127" t="s">
        <v>124</v>
      </c>
      <c r="G24" s="118" t="e">
        <f>SUM(#REF!)</f>
        <v>#REF!</v>
      </c>
      <c r="H24" s="116" t="e">
        <f>SUM(#REF!)</f>
        <v>#REF!</v>
      </c>
      <c r="I24" s="115" t="e">
        <f>SUM(#REF!)</f>
        <v>#REF!</v>
      </c>
      <c r="J24" s="117" t="e">
        <f>SUM(#REF!)</f>
        <v>#REF!</v>
      </c>
      <c r="K24" s="115" t="e">
        <f>SUM(#REF!)</f>
        <v>#REF!</v>
      </c>
      <c r="L24" s="117" t="e">
        <f>SUM(#REF!)</f>
        <v>#REF!</v>
      </c>
      <c r="M24" s="115" t="e">
        <f>SUM(#REF!)</f>
        <v>#REF!</v>
      </c>
      <c r="N24" s="117" t="e">
        <f>SUM(#REF!)</f>
        <v>#REF!</v>
      </c>
      <c r="O24" s="115" t="e">
        <f>SUM(#REF!)</f>
        <v>#REF!</v>
      </c>
      <c r="P24" s="117" t="e">
        <f>SUM(#REF!)</f>
        <v>#REF!</v>
      </c>
      <c r="Q24" s="115" t="e">
        <f>SUM(#REF!)</f>
        <v>#REF!</v>
      </c>
      <c r="R24" s="117" t="e">
        <f>SUM(#REF!)</f>
        <v>#REF!</v>
      </c>
      <c r="S24" s="118" t="e">
        <f>SUM(#REF!)</f>
        <v>#REF!</v>
      </c>
      <c r="T24" s="120" t="e">
        <f>SUM(#REF!)</f>
        <v>#REF!</v>
      </c>
      <c r="U24" s="116" t="e">
        <f>SUM(#REF!)</f>
        <v>#REF!</v>
      </c>
      <c r="V24" s="119" t="e">
        <f>SUM(#REF!)</f>
        <v>#REF!</v>
      </c>
      <c r="W24" s="115">
        <f>'תקציב מפורט לספר '!W249</f>
        <v>1690000</v>
      </c>
      <c r="X24" s="115">
        <f>'תקציב מפורט לספר '!X249</f>
        <v>300000</v>
      </c>
      <c r="Y24" s="115">
        <f>'תקציב מפורט לספר '!Y249</f>
        <v>0</v>
      </c>
      <c r="Z24" s="115">
        <f>'תקציב מפורט לספר '!Z249</f>
        <v>0</v>
      </c>
      <c r="AA24" s="115">
        <f>'תקציב מפורט לספר '!AA249</f>
        <v>1390000</v>
      </c>
      <c r="AB24" s="115">
        <f>'תקציב מפורט לספר '!AB249</f>
        <v>0</v>
      </c>
      <c r="AC24" s="115">
        <f>'תקציב מפורט לספר '!AC249</f>
        <v>500000</v>
      </c>
      <c r="AD24" s="115">
        <f>'תקציב מפורט לספר '!AD249</f>
        <v>0</v>
      </c>
      <c r="AE24" s="115">
        <f>'תקציב מפורט לספר '!AE249</f>
        <v>0</v>
      </c>
      <c r="AF24" s="115">
        <f>'תקציב מפורט לספר '!AF249</f>
        <v>0</v>
      </c>
      <c r="AG24" s="115">
        <f>'תקציב מפורט לספר '!AG249</f>
        <v>500000</v>
      </c>
      <c r="AH24" s="119">
        <f>'תקציב מפורט לספר '!AH249</f>
        <v>0</v>
      </c>
      <c r="AI24" s="115" t="e">
        <f>SUM(#REF!)</f>
        <v>#REF!</v>
      </c>
      <c r="AJ24" s="120" t="e">
        <f>SUM(#REF!)</f>
        <v>#REF!</v>
      </c>
      <c r="AK24" s="120" t="e">
        <f>SUM(#REF!)</f>
        <v>#REF!</v>
      </c>
      <c r="AL24" s="120" t="e">
        <f>SUM(#REF!)</f>
        <v>#REF!</v>
      </c>
      <c r="AM24" s="117" t="e">
        <f>SUM(#REF!)</f>
        <v>#REF!</v>
      </c>
      <c r="AN24" s="119" t="e">
        <f>SUM(#REF!)</f>
        <v>#REF!</v>
      </c>
      <c r="AO24" s="39" t="e">
        <f>SUM(#REF!)</f>
        <v>#REF!</v>
      </c>
      <c r="AP24" s="10" t="e">
        <f>SUM(#REF!)</f>
        <v>#REF!</v>
      </c>
      <c r="AQ24" s="10" t="e">
        <f>SUM(#REF!)</f>
        <v>#REF!</v>
      </c>
      <c r="AR24" s="10" t="e">
        <f>SUM(#REF!)</f>
        <v>#REF!</v>
      </c>
      <c r="AS24" s="10" t="e">
        <f>SUM(#REF!)</f>
        <v>#REF!</v>
      </c>
      <c r="AT24" s="10" t="e">
        <f>SUM(#REF!)</f>
        <v>#REF!</v>
      </c>
      <c r="AU24" s="10" t="e">
        <f>SUM(#REF!)</f>
        <v>#REF!</v>
      </c>
      <c r="AV24" s="10" t="e">
        <f>SUM(#REF!)</f>
        <v>#REF!</v>
      </c>
      <c r="AW24" s="10" t="e">
        <f t="shared" si="4"/>
        <v>#REF!</v>
      </c>
      <c r="AY24" s="11" t="e">
        <f t="shared" si="0"/>
        <v>#REF!</v>
      </c>
      <c r="BC24" s="61"/>
    </row>
    <row r="25" spans="5:56" ht="60" customHeight="1" x14ac:dyDescent="0.2">
      <c r="E25" s="151"/>
      <c r="F25" s="127" t="s">
        <v>351</v>
      </c>
      <c r="G25" s="118" t="e">
        <f>SUM(#REF!)</f>
        <v>#REF!</v>
      </c>
      <c r="H25" s="116" t="e">
        <f>SUM(#REF!)</f>
        <v>#REF!</v>
      </c>
      <c r="I25" s="115" t="e">
        <f>SUM(#REF!)</f>
        <v>#REF!</v>
      </c>
      <c r="J25" s="117" t="e">
        <f>SUM(#REF!)</f>
        <v>#REF!</v>
      </c>
      <c r="K25" s="115" t="e">
        <f>SUM(#REF!)</f>
        <v>#REF!</v>
      </c>
      <c r="L25" s="117" t="e">
        <f>SUM(#REF!)</f>
        <v>#REF!</v>
      </c>
      <c r="M25" s="115" t="e">
        <f>SUM(#REF!)</f>
        <v>#REF!</v>
      </c>
      <c r="N25" s="117" t="e">
        <f>SUM(#REF!)</f>
        <v>#REF!</v>
      </c>
      <c r="O25" s="115" t="e">
        <f>SUM(#REF!)</f>
        <v>#REF!</v>
      </c>
      <c r="P25" s="117" t="e">
        <f>SUM(#REF!)</f>
        <v>#REF!</v>
      </c>
      <c r="Q25" s="115" t="e">
        <f>SUM(#REF!)</f>
        <v>#REF!</v>
      </c>
      <c r="R25" s="117" t="e">
        <f>SUM(#REF!)</f>
        <v>#REF!</v>
      </c>
      <c r="S25" s="118" t="e">
        <f>SUM(#REF!)</f>
        <v>#REF!</v>
      </c>
      <c r="T25" s="120" t="e">
        <f>SUM(#REF!)</f>
        <v>#REF!</v>
      </c>
      <c r="U25" s="116" t="e">
        <f>SUM(#REF!)</f>
        <v>#REF!</v>
      </c>
      <c r="V25" s="119" t="e">
        <f>SUM(#REF!)</f>
        <v>#REF!</v>
      </c>
      <c r="W25" s="115">
        <f>'תקציב מפורט לספר '!W256</f>
        <v>0</v>
      </c>
      <c r="X25" s="115">
        <f>'תקציב מפורט לספר '!X256</f>
        <v>0</v>
      </c>
      <c r="Y25" s="115">
        <f>'תקציב מפורט לספר '!Y256</f>
        <v>0</v>
      </c>
      <c r="Z25" s="115">
        <f>'תקציב מפורט לספר '!Z256</f>
        <v>0</v>
      </c>
      <c r="AA25" s="115">
        <f>'תקציב מפורט לספר '!AA256</f>
        <v>0</v>
      </c>
      <c r="AB25" s="115">
        <f>'תקציב מפורט לספר '!AB256</f>
        <v>0</v>
      </c>
      <c r="AC25" s="115">
        <f>'תקציב מפורט לספר '!AC256</f>
        <v>4250000</v>
      </c>
      <c r="AD25" s="115">
        <f>'תקציב מפורט לספר '!AD256</f>
        <v>0</v>
      </c>
      <c r="AE25" s="115">
        <f>'תקציב מפורט לספר '!AE256</f>
        <v>0</v>
      </c>
      <c r="AF25" s="115">
        <f>'תקציב מפורט לספר '!AF256</f>
        <v>0</v>
      </c>
      <c r="AG25" s="115">
        <f>'תקציב מפורט לספר '!AG256</f>
        <v>4250000</v>
      </c>
      <c r="AH25" s="119">
        <f>'תקציב מפורט לספר '!AH256</f>
        <v>0</v>
      </c>
      <c r="AI25" s="115" t="e">
        <f>SUM(#REF!)</f>
        <v>#REF!</v>
      </c>
      <c r="AJ25" s="120" t="e">
        <f>SUM(#REF!)</f>
        <v>#REF!</v>
      </c>
      <c r="AK25" s="120" t="e">
        <f>SUM(#REF!)</f>
        <v>#REF!</v>
      </c>
      <c r="AL25" s="120" t="e">
        <f>SUM(#REF!)</f>
        <v>#REF!</v>
      </c>
      <c r="AM25" s="117" t="e">
        <f>SUM(#REF!)</f>
        <v>#REF!</v>
      </c>
      <c r="AN25" s="119" t="e">
        <f>SUM(#REF!)</f>
        <v>#REF!</v>
      </c>
      <c r="AO25" s="36"/>
      <c r="AP25" s="9"/>
      <c r="AQ25" s="9"/>
      <c r="AR25" s="9"/>
      <c r="AS25" s="9"/>
      <c r="AT25" s="9"/>
      <c r="AU25" s="9"/>
      <c r="AV25" s="9"/>
      <c r="AW25" s="10"/>
      <c r="AY25" s="11" t="e">
        <f t="shared" si="0"/>
        <v>#REF!</v>
      </c>
    </row>
    <row r="26" spans="5:56" ht="60" customHeight="1" x14ac:dyDescent="0.3">
      <c r="E26" s="149"/>
      <c r="F26" s="127" t="s">
        <v>143</v>
      </c>
      <c r="G26" s="118" t="e">
        <f>SUM(#REF!)</f>
        <v>#REF!</v>
      </c>
      <c r="H26" s="116" t="e">
        <f>SUM(#REF!)</f>
        <v>#REF!</v>
      </c>
      <c r="I26" s="115" t="e">
        <f>SUM(#REF!)</f>
        <v>#REF!</v>
      </c>
      <c r="J26" s="117" t="e">
        <f>SUM(#REF!)</f>
        <v>#REF!</v>
      </c>
      <c r="K26" s="115" t="e">
        <f>SUM(#REF!)</f>
        <v>#REF!</v>
      </c>
      <c r="L26" s="117" t="e">
        <f>SUM(#REF!)</f>
        <v>#REF!</v>
      </c>
      <c r="M26" s="115" t="e">
        <f>SUM(#REF!)</f>
        <v>#REF!</v>
      </c>
      <c r="N26" s="117" t="e">
        <f>SUM(#REF!)</f>
        <v>#REF!</v>
      </c>
      <c r="O26" s="115" t="e">
        <f>SUM(#REF!)</f>
        <v>#REF!</v>
      </c>
      <c r="P26" s="117" t="e">
        <f>SUM(#REF!)</f>
        <v>#REF!</v>
      </c>
      <c r="Q26" s="115" t="e">
        <f>SUM(#REF!)</f>
        <v>#REF!</v>
      </c>
      <c r="R26" s="117" t="e">
        <f>SUM(#REF!)</f>
        <v>#REF!</v>
      </c>
      <c r="S26" s="118" t="e">
        <f>SUM(#REF!)</f>
        <v>#REF!</v>
      </c>
      <c r="T26" s="120" t="e">
        <f>SUM(#REF!)</f>
        <v>#REF!</v>
      </c>
      <c r="U26" s="116" t="e">
        <f>SUM(#REF!)</f>
        <v>#REF!</v>
      </c>
      <c r="V26" s="119" t="e">
        <f>SUM(#REF!)</f>
        <v>#REF!</v>
      </c>
      <c r="W26" s="115">
        <f>'תקציב מפורט לספר '!W278</f>
        <v>16765000</v>
      </c>
      <c r="X26" s="115">
        <f>'תקציב מפורט לספר '!X278</f>
        <v>0</v>
      </c>
      <c r="Y26" s="115">
        <f>'תקציב מפורט לספר '!Y278</f>
        <v>9500000</v>
      </c>
      <c r="Z26" s="115">
        <f>'תקציב מפורט לספר '!Z278</f>
        <v>3400000</v>
      </c>
      <c r="AA26" s="115">
        <f>'תקציב מפורט לספר '!AA278</f>
        <v>3865000</v>
      </c>
      <c r="AB26" s="115">
        <f>'תקציב מפורט לספר '!AB278</f>
        <v>0</v>
      </c>
      <c r="AC26" s="115">
        <f>'תקציב מפורט לספר '!AC278</f>
        <v>19828000</v>
      </c>
      <c r="AD26" s="115">
        <f>'תקציב מפורט לספר '!AD278</f>
        <v>0</v>
      </c>
      <c r="AE26" s="115">
        <f>'תקציב מפורט לספר '!AE278</f>
        <v>7788000</v>
      </c>
      <c r="AF26" s="115">
        <f>'תקציב מפורט לספר '!AF278</f>
        <v>7650000</v>
      </c>
      <c r="AG26" s="115">
        <f>'תקציב מפורט לספר '!AG278</f>
        <v>4390000</v>
      </c>
      <c r="AH26" s="119">
        <f>'תקציב מפורט לספר '!AH278</f>
        <v>0</v>
      </c>
      <c r="AI26" s="115" t="e">
        <f>SUM(#REF!)</f>
        <v>#REF!</v>
      </c>
      <c r="AJ26" s="120" t="e">
        <f>SUM(#REF!)</f>
        <v>#REF!</v>
      </c>
      <c r="AK26" s="120" t="e">
        <f>SUM(#REF!)</f>
        <v>#REF!</v>
      </c>
      <c r="AL26" s="120" t="e">
        <f>SUM(#REF!)</f>
        <v>#REF!</v>
      </c>
      <c r="AM26" s="117" t="e">
        <f>SUM(#REF!)</f>
        <v>#REF!</v>
      </c>
      <c r="AN26" s="119" t="e">
        <f>SUM(#REF!)</f>
        <v>#REF!</v>
      </c>
      <c r="AO26" s="39" t="e">
        <f>SUM(#REF!)</f>
        <v>#REF!</v>
      </c>
      <c r="AP26" s="10" t="e">
        <f>SUM(#REF!)</f>
        <v>#REF!</v>
      </c>
      <c r="AQ26" s="10" t="e">
        <f>SUM(#REF!)</f>
        <v>#REF!</v>
      </c>
      <c r="AR26" s="10" t="e">
        <f>SUM(#REF!)</f>
        <v>#REF!</v>
      </c>
      <c r="AS26" s="10" t="e">
        <f>SUM(#REF!)</f>
        <v>#REF!</v>
      </c>
      <c r="AT26" s="10" t="e">
        <f>SUM(#REF!)</f>
        <v>#REF!</v>
      </c>
      <c r="AU26" s="10" t="e">
        <f>SUM(#REF!)</f>
        <v>#REF!</v>
      </c>
      <c r="AV26" s="10" t="e">
        <f>SUM(#REF!)</f>
        <v>#REF!</v>
      </c>
      <c r="AW26" s="10" t="e">
        <f>SUM(#REF!)</f>
        <v>#REF!</v>
      </c>
      <c r="AY26" s="11" t="e">
        <f t="shared" si="0"/>
        <v>#REF!</v>
      </c>
      <c r="BD26" s="62"/>
    </row>
    <row r="27" spans="5:56" ht="60" customHeight="1" x14ac:dyDescent="0.2">
      <c r="E27" s="149"/>
      <c r="F27" s="127" t="s">
        <v>353</v>
      </c>
      <c r="G27" s="118" t="e">
        <f>SUM(#REF!)</f>
        <v>#REF!</v>
      </c>
      <c r="H27" s="116" t="e">
        <f>SUM(#REF!)</f>
        <v>#REF!</v>
      </c>
      <c r="I27" s="115" t="e">
        <f>SUM(#REF!)</f>
        <v>#REF!</v>
      </c>
      <c r="J27" s="117" t="e">
        <f>SUM(#REF!)</f>
        <v>#REF!</v>
      </c>
      <c r="K27" s="115" t="e">
        <f>SUM(#REF!)</f>
        <v>#REF!</v>
      </c>
      <c r="L27" s="117" t="e">
        <f>SUM(#REF!)</f>
        <v>#REF!</v>
      </c>
      <c r="M27" s="115" t="e">
        <f>SUM(#REF!)</f>
        <v>#REF!</v>
      </c>
      <c r="N27" s="117" t="e">
        <f>SUM(#REF!)</f>
        <v>#REF!</v>
      </c>
      <c r="O27" s="115" t="e">
        <f>SUM(#REF!)</f>
        <v>#REF!</v>
      </c>
      <c r="P27" s="117" t="e">
        <f>SUM(#REF!)</f>
        <v>#REF!</v>
      </c>
      <c r="Q27" s="115" t="e">
        <f>SUM(#REF!)</f>
        <v>#REF!</v>
      </c>
      <c r="R27" s="117" t="e">
        <f>SUM(#REF!)</f>
        <v>#REF!</v>
      </c>
      <c r="S27" s="118" t="e">
        <f>SUM(#REF!)</f>
        <v>#REF!</v>
      </c>
      <c r="T27" s="120" t="e">
        <f>SUM(#REF!)</f>
        <v>#REF!</v>
      </c>
      <c r="U27" s="116" t="e">
        <f>SUM(#REF!)</f>
        <v>#REF!</v>
      </c>
      <c r="V27" s="119" t="e">
        <f>SUM(#REF!)</f>
        <v>#REF!</v>
      </c>
      <c r="W27" s="115">
        <f>'תקציב מפורט לספר '!W282</f>
        <v>15000000</v>
      </c>
      <c r="X27" s="115">
        <f>'תקציב מפורט לספר '!X282</f>
        <v>0</v>
      </c>
      <c r="Y27" s="115">
        <f>'תקציב מפורט לספר '!Y282</f>
        <v>5000000</v>
      </c>
      <c r="Z27" s="115">
        <f>'תקציב מפורט לספר '!Z282</f>
        <v>10000000</v>
      </c>
      <c r="AA27" s="115">
        <f>'תקציב מפורט לספר '!AA282</f>
        <v>0</v>
      </c>
      <c r="AB27" s="115">
        <f>'תקציב מפורט לספר '!AB282</f>
        <v>0</v>
      </c>
      <c r="AC27" s="115">
        <f>'תקציב מפורט לספר '!AC282</f>
        <v>26800000</v>
      </c>
      <c r="AD27" s="115">
        <f>'תקציב מפורט לספר '!AD282</f>
        <v>0</v>
      </c>
      <c r="AE27" s="115">
        <f>'תקציב מפורט לספר '!AE282</f>
        <v>15000000</v>
      </c>
      <c r="AF27" s="115">
        <f>'תקציב מפורט לספר '!AF282</f>
        <v>11800000</v>
      </c>
      <c r="AG27" s="115">
        <f>'תקציב מפורט לספר '!AG282</f>
        <v>0</v>
      </c>
      <c r="AH27" s="119">
        <f>'תקציב מפורט לספר '!AH282</f>
        <v>0</v>
      </c>
      <c r="AI27" s="115" t="e">
        <f>SUM(#REF!)</f>
        <v>#REF!</v>
      </c>
      <c r="AJ27" s="120" t="e">
        <f>SUM(#REF!)</f>
        <v>#REF!</v>
      </c>
      <c r="AK27" s="120" t="e">
        <f>SUM(#REF!)</f>
        <v>#REF!</v>
      </c>
      <c r="AL27" s="120" t="e">
        <f>SUM(#REF!)</f>
        <v>#REF!</v>
      </c>
      <c r="AM27" s="117" t="e">
        <f>SUM(#REF!)</f>
        <v>#REF!</v>
      </c>
      <c r="AN27" s="119" t="e">
        <f>SUM(#REF!)</f>
        <v>#REF!</v>
      </c>
      <c r="AO27" s="39"/>
      <c r="AP27" s="10"/>
      <c r="AQ27" s="10"/>
      <c r="AR27" s="10"/>
      <c r="AS27" s="10"/>
      <c r="AT27" s="10"/>
      <c r="AU27" s="10"/>
      <c r="AV27" s="10"/>
      <c r="AW27" s="10"/>
      <c r="AY27" s="11" t="e">
        <f t="shared" si="0"/>
        <v>#REF!</v>
      </c>
    </row>
    <row r="28" spans="5:56" ht="60" customHeight="1" x14ac:dyDescent="0.2">
      <c r="E28" s="149"/>
      <c r="F28" s="127" t="s">
        <v>146</v>
      </c>
      <c r="G28" s="118" t="e">
        <f>SUM(#REF!)</f>
        <v>#REF!</v>
      </c>
      <c r="H28" s="116" t="e">
        <f>SUM(#REF!)</f>
        <v>#REF!</v>
      </c>
      <c r="I28" s="115" t="e">
        <f>SUM(#REF!)</f>
        <v>#REF!</v>
      </c>
      <c r="J28" s="117" t="e">
        <f>SUM(#REF!)</f>
        <v>#REF!</v>
      </c>
      <c r="K28" s="115" t="e">
        <f>SUM(#REF!)</f>
        <v>#REF!</v>
      </c>
      <c r="L28" s="117" t="e">
        <f>SUM(#REF!)</f>
        <v>#REF!</v>
      </c>
      <c r="M28" s="115" t="e">
        <f>SUM(#REF!)</f>
        <v>#REF!</v>
      </c>
      <c r="N28" s="117" t="e">
        <f>SUM(#REF!)</f>
        <v>#REF!</v>
      </c>
      <c r="O28" s="115" t="e">
        <f>SUM(#REF!)</f>
        <v>#REF!</v>
      </c>
      <c r="P28" s="117" t="e">
        <f>SUM(#REF!)</f>
        <v>#REF!</v>
      </c>
      <c r="Q28" s="115" t="e">
        <f>SUM(#REF!)</f>
        <v>#REF!</v>
      </c>
      <c r="R28" s="117" t="e">
        <f>SUM(#REF!)</f>
        <v>#REF!</v>
      </c>
      <c r="S28" s="118" t="e">
        <f>SUM(#REF!)</f>
        <v>#REF!</v>
      </c>
      <c r="T28" s="120" t="e">
        <f>SUM(#REF!)</f>
        <v>#REF!</v>
      </c>
      <c r="U28" s="116" t="e">
        <f>SUM(#REF!)</f>
        <v>#REF!</v>
      </c>
      <c r="V28" s="119" t="e">
        <f>SUM(#REF!)</f>
        <v>#REF!</v>
      </c>
      <c r="W28" s="115">
        <f>'תקציב מפורט לספר '!W286</f>
        <v>4000000</v>
      </c>
      <c r="X28" s="115">
        <f>'תקציב מפורט לספר '!X286</f>
        <v>0</v>
      </c>
      <c r="Y28" s="115">
        <f>'תקציב מפורט לספר '!Y286</f>
        <v>4000000</v>
      </c>
      <c r="Z28" s="115">
        <f>'תקציב מפורט לספר '!Z286</f>
        <v>0</v>
      </c>
      <c r="AA28" s="115">
        <f>'תקציב מפורט לספר '!AA286</f>
        <v>0</v>
      </c>
      <c r="AB28" s="115">
        <f>'תקציב מפורט לספר '!AB286</f>
        <v>0</v>
      </c>
      <c r="AC28" s="115">
        <f>'תקציב מפורט לספר '!AC286</f>
        <v>7565000</v>
      </c>
      <c r="AD28" s="115">
        <f>'תקציב מפורט לספר '!AD286</f>
        <v>0</v>
      </c>
      <c r="AE28" s="115">
        <f>'תקציב מפורט לספר '!AE286</f>
        <v>7515000</v>
      </c>
      <c r="AF28" s="115">
        <f>'תקציב מפורט לספר '!AF286</f>
        <v>0</v>
      </c>
      <c r="AG28" s="115">
        <f>'תקציב מפורט לספר '!AG286</f>
        <v>50000</v>
      </c>
      <c r="AH28" s="119">
        <f>'תקציב מפורט לספר '!AH286</f>
        <v>0</v>
      </c>
      <c r="AI28" s="115" t="e">
        <f>SUM(#REF!)</f>
        <v>#REF!</v>
      </c>
      <c r="AJ28" s="120" t="e">
        <f>SUM(#REF!)</f>
        <v>#REF!</v>
      </c>
      <c r="AK28" s="120" t="e">
        <f>SUM(#REF!)</f>
        <v>#REF!</v>
      </c>
      <c r="AL28" s="120" t="e">
        <f>SUM(#REF!)</f>
        <v>#REF!</v>
      </c>
      <c r="AM28" s="117" t="e">
        <f>SUM(#REF!)</f>
        <v>#REF!</v>
      </c>
      <c r="AN28" s="115" t="e">
        <f>SUM(#REF!)</f>
        <v>#REF!</v>
      </c>
      <c r="AO28" s="39" t="e">
        <f>SUM(#REF!)</f>
        <v>#REF!</v>
      </c>
      <c r="AP28" s="10" t="e">
        <f>SUM(#REF!)</f>
        <v>#REF!</v>
      </c>
      <c r="AQ28" s="10" t="e">
        <f>SUM(#REF!)</f>
        <v>#REF!</v>
      </c>
      <c r="AR28" s="10" t="e">
        <f>SUM(#REF!)</f>
        <v>#REF!</v>
      </c>
      <c r="AS28" s="10" t="e">
        <f>SUM(#REF!)</f>
        <v>#REF!</v>
      </c>
      <c r="AT28" s="10" t="e">
        <f>SUM(#REF!)</f>
        <v>#REF!</v>
      </c>
      <c r="AU28" s="10" t="e">
        <f>SUM(#REF!)</f>
        <v>#REF!</v>
      </c>
      <c r="AV28" s="10" t="e">
        <f>SUM(#REF!)</f>
        <v>#REF!</v>
      </c>
      <c r="AW28" s="10" t="e">
        <f>AP28-AQ28-AV28</f>
        <v>#REF!</v>
      </c>
      <c r="AY28" s="11" t="e">
        <f t="shared" si="0"/>
        <v>#REF!</v>
      </c>
      <c r="BD28" s="61"/>
    </row>
    <row r="29" spans="5:56" ht="60" customHeight="1" x14ac:dyDescent="0.2">
      <c r="E29" s="149"/>
      <c r="F29" s="127" t="s">
        <v>154</v>
      </c>
      <c r="G29" s="118" t="e">
        <f>SUM(#REF!)</f>
        <v>#REF!</v>
      </c>
      <c r="H29" s="116" t="e">
        <f>SUM(#REF!)</f>
        <v>#REF!</v>
      </c>
      <c r="I29" s="115" t="e">
        <f>SUM(#REF!)</f>
        <v>#REF!</v>
      </c>
      <c r="J29" s="117" t="e">
        <f>SUM(#REF!)</f>
        <v>#REF!</v>
      </c>
      <c r="K29" s="115" t="e">
        <f>SUM(#REF!)</f>
        <v>#REF!</v>
      </c>
      <c r="L29" s="117" t="e">
        <f>SUM(#REF!)</f>
        <v>#REF!</v>
      </c>
      <c r="M29" s="115" t="e">
        <f>SUM(#REF!)</f>
        <v>#REF!</v>
      </c>
      <c r="N29" s="117" t="e">
        <f>SUM(#REF!)</f>
        <v>#REF!</v>
      </c>
      <c r="O29" s="115" t="e">
        <f>SUM(#REF!)</f>
        <v>#REF!</v>
      </c>
      <c r="P29" s="117" t="e">
        <f>SUM(#REF!)</f>
        <v>#REF!</v>
      </c>
      <c r="Q29" s="115" t="e">
        <f>SUM(#REF!)</f>
        <v>#REF!</v>
      </c>
      <c r="R29" s="117" t="e">
        <f>SUM(#REF!)</f>
        <v>#REF!</v>
      </c>
      <c r="S29" s="118" t="e">
        <f>SUM(#REF!)</f>
        <v>#REF!</v>
      </c>
      <c r="T29" s="120" t="e">
        <f>SUM(#REF!)</f>
        <v>#REF!</v>
      </c>
      <c r="U29" s="116" t="e">
        <f>SUM(#REF!)</f>
        <v>#REF!</v>
      </c>
      <c r="V29" s="119" t="e">
        <f>SUM(#REF!)</f>
        <v>#REF!</v>
      </c>
      <c r="W29" s="115">
        <f>'תקציב מפורט לספר '!W298</f>
        <v>6622000</v>
      </c>
      <c r="X29" s="115">
        <f>'תקציב מפורט לספר '!X298</f>
        <v>0</v>
      </c>
      <c r="Y29" s="115">
        <f>'תקציב מפורט לספר '!Y298</f>
        <v>0</v>
      </c>
      <c r="Z29" s="115">
        <f>'תקציב מפורט לספר '!Z298</f>
        <v>0</v>
      </c>
      <c r="AA29" s="115">
        <f>'תקציב מפורט לספר '!AA298</f>
        <v>6622000</v>
      </c>
      <c r="AB29" s="115">
        <f>'תקציב מפורט לספר '!AB298</f>
        <v>0</v>
      </c>
      <c r="AC29" s="115">
        <f>'תקציב מפורט לספר '!AC298</f>
        <v>632000</v>
      </c>
      <c r="AD29" s="115">
        <f>'תקציב מפורט לספר '!AD298</f>
        <v>0</v>
      </c>
      <c r="AE29" s="115">
        <f>'תקציב מפורט לספר '!AE298</f>
        <v>0</v>
      </c>
      <c r="AF29" s="115">
        <f>'תקציב מפורט לספר '!AF298</f>
        <v>0</v>
      </c>
      <c r="AG29" s="115">
        <f>'תקציב מפורט לספר '!AG298</f>
        <v>632000</v>
      </c>
      <c r="AH29" s="119">
        <f>'תקציב מפורט לספר '!AH298</f>
        <v>0</v>
      </c>
      <c r="AI29" s="115" t="e">
        <f>SUM(#REF!)</f>
        <v>#REF!</v>
      </c>
      <c r="AJ29" s="120" t="e">
        <f>SUM(#REF!)</f>
        <v>#REF!</v>
      </c>
      <c r="AK29" s="120" t="e">
        <f>SUM(#REF!)</f>
        <v>#REF!</v>
      </c>
      <c r="AL29" s="120" t="e">
        <f>SUM(#REF!)</f>
        <v>#REF!</v>
      </c>
      <c r="AM29" s="120" t="e">
        <f>SUM(#REF!)</f>
        <v>#REF!</v>
      </c>
      <c r="AN29" s="117" t="e">
        <f>SUM(#REF!)</f>
        <v>#REF!</v>
      </c>
      <c r="AO29" s="47" t="e">
        <f>SUM(#REF!)</f>
        <v>#REF!</v>
      </c>
      <c r="AP29" s="47" t="e">
        <f>SUM(#REF!)</f>
        <v>#REF!</v>
      </c>
      <c r="AQ29" s="47" t="e">
        <f>SUM(#REF!)</f>
        <v>#REF!</v>
      </c>
      <c r="AR29" s="47" t="e">
        <f>SUM(#REF!)</f>
        <v>#REF!</v>
      </c>
      <c r="AS29" s="47" t="e">
        <f>SUM(#REF!)</f>
        <v>#REF!</v>
      </c>
      <c r="AT29" s="47" t="e">
        <f>SUM(#REF!)</f>
        <v>#REF!</v>
      </c>
      <c r="AU29" s="47" t="e">
        <f>SUM(#REF!)</f>
        <v>#REF!</v>
      </c>
      <c r="AV29" s="47" t="e">
        <f>SUM(#REF!)</f>
        <v>#REF!</v>
      </c>
      <c r="AW29" s="47" t="e">
        <f>SUM(#REF!)</f>
        <v>#REF!</v>
      </c>
      <c r="AY29" s="11" t="e">
        <f t="shared" si="0"/>
        <v>#REF!</v>
      </c>
    </row>
    <row r="30" spans="5:56" ht="60" customHeight="1" x14ac:dyDescent="0.2">
      <c r="E30" s="149"/>
      <c r="F30" s="127" t="s">
        <v>168</v>
      </c>
      <c r="G30" s="118" t="e">
        <f>SUM(#REF!)</f>
        <v>#REF!</v>
      </c>
      <c r="H30" s="116" t="e">
        <f>SUM(#REF!)</f>
        <v>#REF!</v>
      </c>
      <c r="I30" s="115" t="e">
        <f>SUM(#REF!)</f>
        <v>#REF!</v>
      </c>
      <c r="J30" s="117" t="e">
        <f>SUM(#REF!)</f>
        <v>#REF!</v>
      </c>
      <c r="K30" s="115" t="e">
        <f>SUM(#REF!)</f>
        <v>#REF!</v>
      </c>
      <c r="L30" s="117" t="e">
        <f>SUM(#REF!)</f>
        <v>#REF!</v>
      </c>
      <c r="M30" s="115" t="e">
        <f>SUM(#REF!)</f>
        <v>#REF!</v>
      </c>
      <c r="N30" s="117" t="e">
        <f>SUM(#REF!)</f>
        <v>#REF!</v>
      </c>
      <c r="O30" s="115" t="e">
        <f>SUM(#REF!)</f>
        <v>#REF!</v>
      </c>
      <c r="P30" s="117" t="e">
        <f>SUM(#REF!)</f>
        <v>#REF!</v>
      </c>
      <c r="Q30" s="115" t="e">
        <f>SUM(#REF!)</f>
        <v>#REF!</v>
      </c>
      <c r="R30" s="117" t="e">
        <f>SUM(#REF!)</f>
        <v>#REF!</v>
      </c>
      <c r="S30" s="118" t="e">
        <f>SUM(#REF!)</f>
        <v>#REF!</v>
      </c>
      <c r="T30" s="120" t="e">
        <f>SUM(#REF!)</f>
        <v>#REF!</v>
      </c>
      <c r="U30" s="116" t="e">
        <f>SUM(#REF!)</f>
        <v>#REF!</v>
      </c>
      <c r="V30" s="119" t="e">
        <f>SUM(#REF!)</f>
        <v>#REF!</v>
      </c>
      <c r="W30" s="115">
        <f>'תקציב מפורט לספר '!W335</f>
        <v>21070000</v>
      </c>
      <c r="X30" s="115">
        <f>'תקציב מפורט לספר '!X335</f>
        <v>10000000</v>
      </c>
      <c r="Y30" s="115">
        <f>'תקציב מפורט לספר '!Y335</f>
        <v>0</v>
      </c>
      <c r="Z30" s="115">
        <f>'תקציב מפורט לספר '!Z335</f>
        <v>6600000</v>
      </c>
      <c r="AA30" s="115">
        <f>'תקציב מפורט לספר '!AA335</f>
        <v>4470000</v>
      </c>
      <c r="AB30" s="115">
        <f>'תקציב מפורט לספר '!AB335</f>
        <v>0</v>
      </c>
      <c r="AC30" s="115">
        <f>'תקציב מפורט לספר '!AC335</f>
        <v>27193000</v>
      </c>
      <c r="AD30" s="115">
        <f>'תקציב מפורט לספר '!AD335</f>
        <v>0</v>
      </c>
      <c r="AE30" s="115">
        <f>'תקציב מפורט לספר '!AE335</f>
        <v>5000000</v>
      </c>
      <c r="AF30" s="115">
        <f>'תקציב מפורט לספר '!AF335</f>
        <v>11402000</v>
      </c>
      <c r="AG30" s="115">
        <f>'תקציב מפורט לספר '!AG335</f>
        <v>10791000</v>
      </c>
      <c r="AH30" s="119">
        <f>'תקציב מפורט לספר '!AH335</f>
        <v>0</v>
      </c>
      <c r="AI30" s="115" t="e">
        <f>SUM(#REF!)</f>
        <v>#REF!</v>
      </c>
      <c r="AJ30" s="120" t="e">
        <f>SUM(#REF!)</f>
        <v>#REF!</v>
      </c>
      <c r="AK30" s="120" t="e">
        <f>SUM(#REF!)</f>
        <v>#REF!</v>
      </c>
      <c r="AL30" s="120" t="e">
        <f>SUM(#REF!)</f>
        <v>#REF!</v>
      </c>
      <c r="AM30" s="117" t="e">
        <f>SUM(#REF!)</f>
        <v>#REF!</v>
      </c>
      <c r="AN30" s="119" t="e">
        <f>SUM(#REF!)</f>
        <v>#REF!</v>
      </c>
      <c r="AO30" s="39" t="e">
        <f>SUM(#REF!)</f>
        <v>#REF!</v>
      </c>
      <c r="AP30" s="10" t="e">
        <f>SUM(#REF!)</f>
        <v>#REF!</v>
      </c>
      <c r="AQ30" s="10" t="e">
        <f>SUM(#REF!)</f>
        <v>#REF!</v>
      </c>
      <c r="AR30" s="10" t="e">
        <f>SUM(#REF!)</f>
        <v>#REF!</v>
      </c>
      <c r="AS30" s="10" t="e">
        <f>SUM(#REF!)</f>
        <v>#REF!</v>
      </c>
      <c r="AT30" s="10" t="e">
        <f>SUM(#REF!)</f>
        <v>#REF!</v>
      </c>
      <c r="AU30" s="10" t="e">
        <f>SUM(#REF!)</f>
        <v>#REF!</v>
      </c>
      <c r="AV30" s="10" t="e">
        <f>SUM(#REF!)</f>
        <v>#REF!</v>
      </c>
      <c r="AW30" s="10" t="e">
        <f>SUM(#REF!)</f>
        <v>#REF!</v>
      </c>
      <c r="AY30" s="11" t="e">
        <f t="shared" si="0"/>
        <v>#REF!</v>
      </c>
      <c r="BD30" s="61"/>
    </row>
    <row r="31" spans="5:56" ht="60" customHeight="1" x14ac:dyDescent="0.2">
      <c r="E31" s="149"/>
      <c r="F31" s="127" t="s">
        <v>177</v>
      </c>
      <c r="G31" s="118" t="e">
        <f>SUM(#REF!)</f>
        <v>#REF!</v>
      </c>
      <c r="H31" s="116" t="e">
        <f>SUM(#REF!)</f>
        <v>#REF!</v>
      </c>
      <c r="I31" s="115" t="e">
        <f>SUM(#REF!)</f>
        <v>#REF!</v>
      </c>
      <c r="J31" s="117" t="e">
        <f>SUM(#REF!)</f>
        <v>#REF!</v>
      </c>
      <c r="K31" s="115" t="e">
        <f>SUM(#REF!)</f>
        <v>#REF!</v>
      </c>
      <c r="L31" s="117" t="e">
        <f>SUM(#REF!)</f>
        <v>#REF!</v>
      </c>
      <c r="M31" s="115" t="e">
        <f>SUM(#REF!)</f>
        <v>#REF!</v>
      </c>
      <c r="N31" s="117" t="e">
        <f>SUM(#REF!)</f>
        <v>#REF!</v>
      </c>
      <c r="O31" s="115" t="e">
        <f>SUM(#REF!)</f>
        <v>#REF!</v>
      </c>
      <c r="P31" s="117" t="e">
        <f>SUM(#REF!)</f>
        <v>#REF!</v>
      </c>
      <c r="Q31" s="115" t="e">
        <f>SUM(#REF!)</f>
        <v>#REF!</v>
      </c>
      <c r="R31" s="117" t="e">
        <f>SUM(#REF!)</f>
        <v>#REF!</v>
      </c>
      <c r="S31" s="118" t="e">
        <f>SUM(#REF!)</f>
        <v>#REF!</v>
      </c>
      <c r="T31" s="120" t="e">
        <f>SUM(#REF!)</f>
        <v>#REF!</v>
      </c>
      <c r="U31" s="116" t="e">
        <f>SUM(#REF!)</f>
        <v>#REF!</v>
      </c>
      <c r="V31" s="119" t="e">
        <f>SUM(#REF!)</f>
        <v>#REF!</v>
      </c>
      <c r="W31" s="115">
        <f>'תקציב מפורט לספר '!W346</f>
        <v>4325000</v>
      </c>
      <c r="X31" s="115">
        <f>'תקציב מפורט לספר '!X346</f>
        <v>0</v>
      </c>
      <c r="Y31" s="115">
        <f>'תקציב מפורט לספר '!Y346</f>
        <v>0</v>
      </c>
      <c r="Z31" s="115">
        <f>'תקציב מפורט לספר '!Z346</f>
        <v>3975000</v>
      </c>
      <c r="AA31" s="115">
        <f>'תקציב מפורט לספר '!AA346</f>
        <v>350000</v>
      </c>
      <c r="AB31" s="115">
        <f>'תקציב מפורט לספר '!AB346</f>
        <v>0</v>
      </c>
      <c r="AC31" s="115">
        <f>'תקציב מפורט לספר '!AC346</f>
        <v>5575000</v>
      </c>
      <c r="AD31" s="115">
        <f>'תקציב מפורט לספר '!AD346</f>
        <v>0</v>
      </c>
      <c r="AE31" s="115">
        <f>'תקציב מפורט לספר '!AE346</f>
        <v>0</v>
      </c>
      <c r="AF31" s="115">
        <f>'תקציב מפורט לספר '!AF346</f>
        <v>3030000</v>
      </c>
      <c r="AG31" s="115">
        <f>'תקציב מפורט לספר '!AG346</f>
        <v>2545000</v>
      </c>
      <c r="AH31" s="119">
        <f>'תקציב מפורט לספר '!AH346</f>
        <v>0</v>
      </c>
      <c r="AI31" s="115" t="e">
        <f>SUM(#REF!)</f>
        <v>#REF!</v>
      </c>
      <c r="AJ31" s="120" t="e">
        <f>SUM(#REF!)</f>
        <v>#REF!</v>
      </c>
      <c r="AK31" s="120" t="e">
        <f>SUM(#REF!)</f>
        <v>#REF!</v>
      </c>
      <c r="AL31" s="120" t="e">
        <f>SUM(#REF!)</f>
        <v>#REF!</v>
      </c>
      <c r="AM31" s="117" t="e">
        <f>SUM(#REF!)</f>
        <v>#REF!</v>
      </c>
      <c r="AN31" s="119" t="e">
        <f>SUM(#REF!)</f>
        <v>#REF!</v>
      </c>
      <c r="AO31" s="39" t="e">
        <f>SUM(#REF!)</f>
        <v>#REF!</v>
      </c>
      <c r="AP31" s="10" t="e">
        <f>SUM(#REF!)</f>
        <v>#REF!</v>
      </c>
      <c r="AQ31" s="10" t="e">
        <f>SUM(#REF!)</f>
        <v>#REF!</v>
      </c>
      <c r="AR31" s="10" t="e">
        <f>SUM(#REF!)</f>
        <v>#REF!</v>
      </c>
      <c r="AS31" s="10" t="e">
        <f>SUM(#REF!)</f>
        <v>#REF!</v>
      </c>
      <c r="AT31" s="10" t="e">
        <f>SUM(#REF!)</f>
        <v>#REF!</v>
      </c>
      <c r="AU31" s="10" t="e">
        <f>SUM(#REF!)</f>
        <v>#REF!</v>
      </c>
      <c r="AV31" s="10" t="e">
        <f>SUM(#REF!)</f>
        <v>#REF!</v>
      </c>
      <c r="AW31" s="10" t="e">
        <f>SUM(#REF!)</f>
        <v>#REF!</v>
      </c>
      <c r="AY31" s="11" t="e">
        <f t="shared" si="0"/>
        <v>#REF!</v>
      </c>
    </row>
    <row r="32" spans="5:56" ht="60" customHeight="1" x14ac:dyDescent="0.2">
      <c r="E32" s="151"/>
      <c r="F32" s="127" t="s">
        <v>179</v>
      </c>
      <c r="G32" s="118" t="e">
        <f>SUM(#REF!)</f>
        <v>#REF!</v>
      </c>
      <c r="H32" s="116" t="e">
        <f>SUM(#REF!)</f>
        <v>#REF!</v>
      </c>
      <c r="I32" s="115" t="e">
        <f>SUM(#REF!)</f>
        <v>#REF!</v>
      </c>
      <c r="J32" s="117" t="e">
        <f>SUM(#REF!)</f>
        <v>#REF!</v>
      </c>
      <c r="K32" s="115" t="e">
        <f>SUM(#REF!)</f>
        <v>#REF!</v>
      </c>
      <c r="L32" s="117" t="e">
        <f>SUM(#REF!)</f>
        <v>#REF!</v>
      </c>
      <c r="M32" s="115" t="e">
        <f>SUM(#REF!)</f>
        <v>#REF!</v>
      </c>
      <c r="N32" s="117" t="e">
        <f>SUM(#REF!)</f>
        <v>#REF!</v>
      </c>
      <c r="O32" s="115" t="e">
        <f>SUM(#REF!)</f>
        <v>#REF!</v>
      </c>
      <c r="P32" s="117" t="e">
        <f>SUM(#REF!)</f>
        <v>#REF!</v>
      </c>
      <c r="Q32" s="115" t="e">
        <f>SUM(#REF!)</f>
        <v>#REF!</v>
      </c>
      <c r="R32" s="117" t="e">
        <f>SUM(#REF!)</f>
        <v>#REF!</v>
      </c>
      <c r="S32" s="118" t="e">
        <f>SUM(#REF!)</f>
        <v>#REF!</v>
      </c>
      <c r="T32" s="120" t="e">
        <f>SUM(#REF!)</f>
        <v>#REF!</v>
      </c>
      <c r="U32" s="116" t="e">
        <f>SUM(#REF!)</f>
        <v>#REF!</v>
      </c>
      <c r="V32" s="119" t="e">
        <f>SUM(#REF!)</f>
        <v>#REF!</v>
      </c>
      <c r="W32" s="115">
        <f>'תקציב מפורט לספר '!W350</f>
        <v>300000</v>
      </c>
      <c r="X32" s="115">
        <f>'תקציב מפורט לספר '!X350</f>
        <v>0</v>
      </c>
      <c r="Y32" s="115">
        <f>'תקציב מפורט לספר '!Y350</f>
        <v>0</v>
      </c>
      <c r="Z32" s="115">
        <f>'תקציב מפורט לספר '!Z350</f>
        <v>0</v>
      </c>
      <c r="AA32" s="115">
        <f>'תקציב מפורט לספר '!AA350</f>
        <v>200000</v>
      </c>
      <c r="AB32" s="115">
        <f>'תקציב מפורט לספר '!AB350</f>
        <v>100000</v>
      </c>
      <c r="AC32" s="115">
        <f>'תקציב מפורט לספר '!AC350</f>
        <v>1992000</v>
      </c>
      <c r="AD32" s="115">
        <f>'תקציב מפורט לספר '!AD350</f>
        <v>0</v>
      </c>
      <c r="AE32" s="115">
        <f>'תקציב מפורט לספר '!AE350</f>
        <v>0</v>
      </c>
      <c r="AF32" s="115">
        <f>'תקציב מפורט לספר '!AF350</f>
        <v>0</v>
      </c>
      <c r="AG32" s="115">
        <f>'תקציב מפורט לספר '!AG350</f>
        <v>0</v>
      </c>
      <c r="AH32" s="119">
        <f>'תקציב מפורט לספר '!AH350</f>
        <v>1992000</v>
      </c>
      <c r="AI32" s="115" t="e">
        <f>SUM(#REF!)</f>
        <v>#REF!</v>
      </c>
      <c r="AJ32" s="120" t="e">
        <f>SUM(#REF!)</f>
        <v>#REF!</v>
      </c>
      <c r="AK32" s="120" t="e">
        <f>SUM(#REF!)</f>
        <v>#REF!</v>
      </c>
      <c r="AL32" s="120" t="e">
        <f>SUM(#REF!)</f>
        <v>#REF!</v>
      </c>
      <c r="AM32" s="117" t="e">
        <f>SUM(#REF!)</f>
        <v>#REF!</v>
      </c>
      <c r="AN32" s="119" t="e">
        <f>SUM(#REF!)</f>
        <v>#REF!</v>
      </c>
      <c r="AO32" s="39" t="e">
        <f>SUM(#REF!)</f>
        <v>#REF!</v>
      </c>
      <c r="AP32" s="10" t="e">
        <f>SUM(#REF!)</f>
        <v>#REF!</v>
      </c>
      <c r="AQ32" s="10" t="e">
        <f>SUM(#REF!)</f>
        <v>#REF!</v>
      </c>
      <c r="AR32" s="10" t="e">
        <f>SUM(#REF!)</f>
        <v>#REF!</v>
      </c>
      <c r="AS32" s="10" t="e">
        <f>SUM(#REF!)</f>
        <v>#REF!</v>
      </c>
      <c r="AT32" s="10" t="e">
        <f>SUM(#REF!)</f>
        <v>#REF!</v>
      </c>
      <c r="AU32" s="10" t="e">
        <f>SUM(#REF!)</f>
        <v>#REF!</v>
      </c>
      <c r="AV32" s="10" t="e">
        <f>SUM(#REF!)</f>
        <v>#REF!</v>
      </c>
      <c r="AW32" s="10" t="e">
        <f>SUM(#REF!)</f>
        <v>#REF!</v>
      </c>
      <c r="AY32" s="11" t="e">
        <f t="shared" si="0"/>
        <v>#REF!</v>
      </c>
    </row>
    <row r="33" spans="5:56" ht="60" customHeight="1" x14ac:dyDescent="0.2">
      <c r="E33" s="149"/>
      <c r="F33" s="127" t="s">
        <v>186</v>
      </c>
      <c r="G33" s="118" t="e">
        <f>SUM(#REF!)</f>
        <v>#REF!</v>
      </c>
      <c r="H33" s="116" t="e">
        <f>SUM(#REF!)</f>
        <v>#REF!</v>
      </c>
      <c r="I33" s="115" t="e">
        <f>SUM(#REF!)</f>
        <v>#REF!</v>
      </c>
      <c r="J33" s="117" t="e">
        <f>SUM(#REF!)</f>
        <v>#REF!</v>
      </c>
      <c r="K33" s="115" t="e">
        <f>SUM(#REF!)</f>
        <v>#REF!</v>
      </c>
      <c r="L33" s="117" t="e">
        <f>SUM(#REF!)</f>
        <v>#REF!</v>
      </c>
      <c r="M33" s="115" t="e">
        <f>SUM(#REF!)</f>
        <v>#REF!</v>
      </c>
      <c r="N33" s="117" t="e">
        <f>SUM(#REF!)</f>
        <v>#REF!</v>
      </c>
      <c r="O33" s="115" t="e">
        <f>SUM(#REF!)</f>
        <v>#REF!</v>
      </c>
      <c r="P33" s="117" t="e">
        <f>SUM(#REF!)</f>
        <v>#REF!</v>
      </c>
      <c r="Q33" s="115" t="e">
        <f>SUM(#REF!)</f>
        <v>#REF!</v>
      </c>
      <c r="R33" s="117" t="e">
        <f>SUM(#REF!)</f>
        <v>#REF!</v>
      </c>
      <c r="S33" s="118" t="e">
        <f>SUM(#REF!)</f>
        <v>#REF!</v>
      </c>
      <c r="T33" s="120" t="e">
        <f>SUM(#REF!)</f>
        <v>#REF!</v>
      </c>
      <c r="U33" s="116" t="e">
        <f>SUM(#REF!)</f>
        <v>#REF!</v>
      </c>
      <c r="V33" s="119" t="e">
        <f>SUM(#REF!)</f>
        <v>#REF!</v>
      </c>
      <c r="W33" s="115">
        <f>'תקציב מפורט לספר '!W366</f>
        <v>4510000</v>
      </c>
      <c r="X33" s="115">
        <f>'תקציב מפורט לספר '!X366</f>
        <v>695000</v>
      </c>
      <c r="Y33" s="115">
        <f>'תקציב מפורט לספר '!Y366</f>
        <v>0</v>
      </c>
      <c r="Z33" s="115">
        <f>'תקציב מפורט לספר '!Z366</f>
        <v>200000</v>
      </c>
      <c r="AA33" s="115">
        <f>'תקציב מפורט לספר '!AA366</f>
        <v>2385000</v>
      </c>
      <c r="AB33" s="115">
        <f>'תקציב מפורט לספר '!AB366</f>
        <v>1230000</v>
      </c>
      <c r="AC33" s="115">
        <f>'תקציב מפורט לספר '!AC366</f>
        <v>12630000</v>
      </c>
      <c r="AD33" s="115">
        <f>'תקציב מפורט לספר '!AD366</f>
        <v>1960000</v>
      </c>
      <c r="AE33" s="115">
        <f>'תקציב מפורט לספר '!AE366</f>
        <v>9500000</v>
      </c>
      <c r="AF33" s="115">
        <f>'תקציב מפורט לספר '!AF366</f>
        <v>300000</v>
      </c>
      <c r="AG33" s="115">
        <f>'תקציב מפורט לספר '!AG366</f>
        <v>870000</v>
      </c>
      <c r="AH33" s="119">
        <f>'תקציב מפורט לספר '!AH366</f>
        <v>0</v>
      </c>
      <c r="AI33" s="115" t="e">
        <f>SUM(#REF!)</f>
        <v>#REF!</v>
      </c>
      <c r="AJ33" s="120" t="e">
        <f>SUM(#REF!)</f>
        <v>#REF!</v>
      </c>
      <c r="AK33" s="120" t="e">
        <f>SUM(#REF!)</f>
        <v>#REF!</v>
      </c>
      <c r="AL33" s="120" t="e">
        <f>SUM(#REF!)</f>
        <v>#REF!</v>
      </c>
      <c r="AM33" s="117" t="e">
        <f>SUM(#REF!)</f>
        <v>#REF!</v>
      </c>
      <c r="AN33" s="119" t="e">
        <f>SUM(#REF!)</f>
        <v>#REF!</v>
      </c>
      <c r="AO33" s="39" t="e">
        <f>SUM(#REF!)</f>
        <v>#REF!</v>
      </c>
      <c r="AP33" s="10" t="e">
        <f>SUM(#REF!)</f>
        <v>#REF!</v>
      </c>
      <c r="AQ33" s="10" t="e">
        <f>SUM(#REF!)</f>
        <v>#REF!</v>
      </c>
      <c r="AR33" s="10" t="e">
        <f>SUM(#REF!)</f>
        <v>#REF!</v>
      </c>
      <c r="AS33" s="10" t="e">
        <f>SUM(#REF!)</f>
        <v>#REF!</v>
      </c>
      <c r="AT33" s="10" t="e">
        <f>SUM(#REF!)</f>
        <v>#REF!</v>
      </c>
      <c r="AU33" s="10" t="e">
        <f>SUM(#REF!)</f>
        <v>#REF!</v>
      </c>
      <c r="AV33" s="10" t="e">
        <f>SUM(#REF!)</f>
        <v>#REF!</v>
      </c>
      <c r="AW33" s="10" t="e">
        <f>AP33-AQ33-AV33</f>
        <v>#REF!</v>
      </c>
      <c r="AY33" s="11" t="e">
        <f t="shared" si="0"/>
        <v>#REF!</v>
      </c>
    </row>
    <row r="34" spans="5:56" ht="60" customHeight="1" x14ac:dyDescent="0.2">
      <c r="E34" s="151"/>
      <c r="F34" s="127" t="s">
        <v>192</v>
      </c>
      <c r="G34" s="118" t="e">
        <f>SUM(#REF!)</f>
        <v>#REF!</v>
      </c>
      <c r="H34" s="116" t="e">
        <f>SUM(#REF!)</f>
        <v>#REF!</v>
      </c>
      <c r="I34" s="115" t="e">
        <f>SUM(#REF!)</f>
        <v>#REF!</v>
      </c>
      <c r="J34" s="117" t="e">
        <f>SUM(#REF!)</f>
        <v>#REF!</v>
      </c>
      <c r="K34" s="115" t="e">
        <f>SUM(#REF!)</f>
        <v>#REF!</v>
      </c>
      <c r="L34" s="117" t="e">
        <f>SUM(#REF!)</f>
        <v>#REF!</v>
      </c>
      <c r="M34" s="115" t="e">
        <f>SUM(#REF!)</f>
        <v>#REF!</v>
      </c>
      <c r="N34" s="117" t="e">
        <f>SUM(#REF!)</f>
        <v>#REF!</v>
      </c>
      <c r="O34" s="115" t="e">
        <f>SUM(#REF!)</f>
        <v>#REF!</v>
      </c>
      <c r="P34" s="117" t="e">
        <f>SUM(#REF!)</f>
        <v>#REF!</v>
      </c>
      <c r="Q34" s="115" t="e">
        <f>SUM(#REF!)</f>
        <v>#REF!</v>
      </c>
      <c r="R34" s="117" t="e">
        <f>SUM(#REF!)</f>
        <v>#REF!</v>
      </c>
      <c r="S34" s="118" t="e">
        <f>SUM(#REF!)</f>
        <v>#REF!</v>
      </c>
      <c r="T34" s="120" t="e">
        <f>SUM(#REF!)</f>
        <v>#REF!</v>
      </c>
      <c r="U34" s="116" t="e">
        <f>SUM(#REF!)</f>
        <v>#REF!</v>
      </c>
      <c r="V34" s="119" t="e">
        <f>SUM(#REF!)</f>
        <v>#REF!</v>
      </c>
      <c r="W34" s="115">
        <f>'תקציב מפורט לספר '!W376</f>
        <v>965000</v>
      </c>
      <c r="X34" s="115">
        <f>'תקציב מפורט לספר '!X376</f>
        <v>0</v>
      </c>
      <c r="Y34" s="115">
        <f>'תקציב מפורט לספר '!Y376</f>
        <v>0</v>
      </c>
      <c r="Z34" s="115">
        <f>'תקציב מפורט לספר '!Z376</f>
        <v>0</v>
      </c>
      <c r="AA34" s="115">
        <f>'תקציב מפורט לספר '!AA376</f>
        <v>507500</v>
      </c>
      <c r="AB34" s="115">
        <f>'תקציב מפורט לספר '!AB376</f>
        <v>457500</v>
      </c>
      <c r="AC34" s="115">
        <f>'תקציב מפורט לספר '!AC376</f>
        <v>5160000</v>
      </c>
      <c r="AD34" s="115">
        <f>'תקציב מפורט לספר '!AD376</f>
        <v>0</v>
      </c>
      <c r="AE34" s="115">
        <f>'תקציב מפורט לספר '!AE376</f>
        <v>0</v>
      </c>
      <c r="AF34" s="115">
        <f>'תקציב מפורט לספר '!AF376</f>
        <v>0</v>
      </c>
      <c r="AG34" s="115">
        <f>'תקציב מפורט לספר '!AG376</f>
        <v>4653500</v>
      </c>
      <c r="AH34" s="119">
        <f>'תקציב מפורט לספר '!AH376</f>
        <v>506500</v>
      </c>
      <c r="AI34" s="115" t="e">
        <f>SUM(#REF!)</f>
        <v>#REF!</v>
      </c>
      <c r="AJ34" s="120" t="e">
        <f>SUM(#REF!)</f>
        <v>#REF!</v>
      </c>
      <c r="AK34" s="120" t="e">
        <f>SUM(#REF!)</f>
        <v>#REF!</v>
      </c>
      <c r="AL34" s="120" t="e">
        <f>SUM(#REF!)</f>
        <v>#REF!</v>
      </c>
      <c r="AM34" s="117" t="e">
        <f>SUM(#REF!)</f>
        <v>#REF!</v>
      </c>
      <c r="AN34" s="119" t="e">
        <f>SUM(#REF!)</f>
        <v>#REF!</v>
      </c>
      <c r="AO34" s="39" t="e">
        <f>SUM(#REF!)</f>
        <v>#REF!</v>
      </c>
      <c r="AP34" s="10" t="e">
        <f>SUM(#REF!)</f>
        <v>#REF!</v>
      </c>
      <c r="AQ34" s="10" t="e">
        <f>SUM(#REF!)</f>
        <v>#REF!</v>
      </c>
      <c r="AR34" s="10" t="e">
        <f>SUM(#REF!)</f>
        <v>#REF!</v>
      </c>
      <c r="AS34" s="10" t="e">
        <f>SUM(#REF!)</f>
        <v>#REF!</v>
      </c>
      <c r="AT34" s="10" t="e">
        <f>SUM(#REF!)</f>
        <v>#REF!</v>
      </c>
      <c r="AU34" s="10" t="e">
        <f>SUM(#REF!)</f>
        <v>#REF!</v>
      </c>
      <c r="AV34" s="10" t="e">
        <f>SUM(#REF!)</f>
        <v>#REF!</v>
      </c>
      <c r="AW34" s="10" t="e">
        <f t="shared" ref="AW34:AW39" si="5">AP34-AQ34-AV34</f>
        <v>#REF!</v>
      </c>
      <c r="AY34" s="11" t="e">
        <f t="shared" si="0"/>
        <v>#REF!</v>
      </c>
    </row>
    <row r="35" spans="5:56" ht="60" customHeight="1" x14ac:dyDescent="0.2">
      <c r="E35" s="149"/>
      <c r="F35" s="127" t="s">
        <v>195</v>
      </c>
      <c r="G35" s="118" t="e">
        <f>SUM(#REF!)</f>
        <v>#REF!</v>
      </c>
      <c r="H35" s="116" t="e">
        <f>SUM(#REF!)</f>
        <v>#REF!</v>
      </c>
      <c r="I35" s="115" t="e">
        <f>SUM(#REF!)</f>
        <v>#REF!</v>
      </c>
      <c r="J35" s="117" t="e">
        <f>SUM(#REF!)</f>
        <v>#REF!</v>
      </c>
      <c r="K35" s="115" t="e">
        <f>SUM(#REF!)</f>
        <v>#REF!</v>
      </c>
      <c r="L35" s="117" t="e">
        <f>SUM(#REF!)</f>
        <v>#REF!</v>
      </c>
      <c r="M35" s="115" t="e">
        <f>SUM(#REF!)</f>
        <v>#REF!</v>
      </c>
      <c r="N35" s="117" t="e">
        <f>SUM(#REF!)</f>
        <v>#REF!</v>
      </c>
      <c r="O35" s="115" t="e">
        <f>SUM(#REF!)</f>
        <v>#REF!</v>
      </c>
      <c r="P35" s="117" t="e">
        <f>SUM(#REF!)</f>
        <v>#REF!</v>
      </c>
      <c r="Q35" s="115" t="e">
        <f>SUM(#REF!)</f>
        <v>#REF!</v>
      </c>
      <c r="R35" s="117" t="e">
        <f>SUM(#REF!)</f>
        <v>#REF!</v>
      </c>
      <c r="S35" s="118" t="e">
        <f>SUM(#REF!)</f>
        <v>#REF!</v>
      </c>
      <c r="T35" s="120" t="e">
        <f>SUM(#REF!)</f>
        <v>#REF!</v>
      </c>
      <c r="U35" s="116" t="e">
        <f>SUM(#REF!)</f>
        <v>#REF!</v>
      </c>
      <c r="V35" s="119" t="e">
        <f>SUM(#REF!)</f>
        <v>#REF!</v>
      </c>
      <c r="W35" s="115">
        <f>'תקציב מפורט לספר '!W381</f>
        <v>490000</v>
      </c>
      <c r="X35" s="115">
        <f>'תקציב מפורט לספר '!X381</f>
        <v>0</v>
      </c>
      <c r="Y35" s="115">
        <f>'תקציב מפורט לספר '!Y381</f>
        <v>0</v>
      </c>
      <c r="Z35" s="115">
        <f>'תקציב מפורט לספר '!Z381</f>
        <v>0</v>
      </c>
      <c r="AA35" s="115">
        <f>'תקציב מפורט לספר '!AA381</f>
        <v>490000</v>
      </c>
      <c r="AB35" s="115">
        <f>'תקציב מפורט לספר '!AB381</f>
        <v>0</v>
      </c>
      <c r="AC35" s="115">
        <f>'תקציב מפורט לספר '!AC381</f>
        <v>50000</v>
      </c>
      <c r="AD35" s="115">
        <f>'תקציב מפורט לספר '!AD381</f>
        <v>0</v>
      </c>
      <c r="AE35" s="115">
        <f>'תקציב מפורט לספר '!AE381</f>
        <v>0</v>
      </c>
      <c r="AF35" s="115">
        <f>'תקציב מפורט לספר '!AF381</f>
        <v>0</v>
      </c>
      <c r="AG35" s="115">
        <f>'תקציב מפורט לספר '!AG381</f>
        <v>50000</v>
      </c>
      <c r="AH35" s="119">
        <f>'תקציב מפורט לספר '!AH381</f>
        <v>0</v>
      </c>
      <c r="AI35" s="115" t="e">
        <f>SUM(#REF!)</f>
        <v>#REF!</v>
      </c>
      <c r="AJ35" s="120" t="e">
        <f>SUM(#REF!)</f>
        <v>#REF!</v>
      </c>
      <c r="AK35" s="120" t="e">
        <f>SUM(#REF!)</f>
        <v>#REF!</v>
      </c>
      <c r="AL35" s="120" t="e">
        <f>SUM(#REF!)</f>
        <v>#REF!</v>
      </c>
      <c r="AM35" s="117" t="e">
        <f>SUM(#REF!)</f>
        <v>#REF!</v>
      </c>
      <c r="AN35" s="119" t="e">
        <f>SUM(#REF!)</f>
        <v>#REF!</v>
      </c>
      <c r="AO35" s="39" t="e">
        <f>SUM(#REF!)</f>
        <v>#REF!</v>
      </c>
      <c r="AP35" s="10" t="e">
        <f>SUM(#REF!)</f>
        <v>#REF!</v>
      </c>
      <c r="AQ35" s="10" t="e">
        <f>SUM(#REF!)</f>
        <v>#REF!</v>
      </c>
      <c r="AR35" s="10" t="e">
        <f>SUM(#REF!)</f>
        <v>#REF!</v>
      </c>
      <c r="AS35" s="10" t="e">
        <f>SUM(#REF!)</f>
        <v>#REF!</v>
      </c>
      <c r="AT35" s="10" t="e">
        <f>SUM(#REF!)</f>
        <v>#REF!</v>
      </c>
      <c r="AU35" s="10" t="e">
        <f>SUM(#REF!)</f>
        <v>#REF!</v>
      </c>
      <c r="AV35" s="10" t="e">
        <f>SUM(#REF!)</f>
        <v>#REF!</v>
      </c>
      <c r="AW35" s="10" t="e">
        <f t="shared" si="5"/>
        <v>#REF!</v>
      </c>
      <c r="AY35" s="11" t="e">
        <f t="shared" si="0"/>
        <v>#REF!</v>
      </c>
    </row>
    <row r="36" spans="5:56" ht="60" customHeight="1" x14ac:dyDescent="0.2">
      <c r="E36" s="149"/>
      <c r="F36" s="127" t="s">
        <v>200</v>
      </c>
      <c r="G36" s="118" t="e">
        <f>SUM(#REF!)</f>
        <v>#REF!</v>
      </c>
      <c r="H36" s="116" t="e">
        <f>SUM(#REF!)</f>
        <v>#REF!</v>
      </c>
      <c r="I36" s="115" t="e">
        <f>SUM(#REF!)</f>
        <v>#REF!</v>
      </c>
      <c r="J36" s="117" t="e">
        <f>SUM(#REF!)</f>
        <v>#REF!</v>
      </c>
      <c r="K36" s="115" t="e">
        <f>SUM(#REF!)</f>
        <v>#REF!</v>
      </c>
      <c r="L36" s="117" t="e">
        <f>SUM(#REF!)</f>
        <v>#REF!</v>
      </c>
      <c r="M36" s="115" t="e">
        <f>SUM(#REF!)</f>
        <v>#REF!</v>
      </c>
      <c r="N36" s="117" t="e">
        <f>SUM(#REF!)</f>
        <v>#REF!</v>
      </c>
      <c r="O36" s="115" t="e">
        <f>SUM(#REF!)</f>
        <v>#REF!</v>
      </c>
      <c r="P36" s="117" t="e">
        <f>SUM(#REF!)</f>
        <v>#REF!</v>
      </c>
      <c r="Q36" s="115" t="e">
        <f>SUM(#REF!)</f>
        <v>#REF!</v>
      </c>
      <c r="R36" s="117" t="e">
        <f>SUM(#REF!)</f>
        <v>#REF!</v>
      </c>
      <c r="S36" s="118" t="e">
        <f>SUM(#REF!)</f>
        <v>#REF!</v>
      </c>
      <c r="T36" s="120" t="e">
        <f>SUM(#REF!)</f>
        <v>#REF!</v>
      </c>
      <c r="U36" s="116" t="e">
        <f>SUM(#REF!)</f>
        <v>#REF!</v>
      </c>
      <c r="V36" s="119" t="e">
        <f>SUM(#REF!)</f>
        <v>#REF!</v>
      </c>
      <c r="W36" s="115">
        <f>'תקציב מפורט לספר '!W395</f>
        <v>40850000</v>
      </c>
      <c r="X36" s="115">
        <f>'תקציב מפורט לספר '!X395</f>
        <v>28595000</v>
      </c>
      <c r="Y36" s="115">
        <f>'תקציב מפורט לספר '!Y395</f>
        <v>12255000</v>
      </c>
      <c r="Z36" s="115">
        <f>'תקציב מפורט לספר '!Z395</f>
        <v>0</v>
      </c>
      <c r="AA36" s="115">
        <f>'תקציב מפורט לספר '!AA395</f>
        <v>0</v>
      </c>
      <c r="AB36" s="115">
        <f>'תקציב מפורט לספר '!AB395</f>
        <v>0</v>
      </c>
      <c r="AC36" s="115">
        <f>'תקציב מפורט לספר '!AC395</f>
        <v>3000000</v>
      </c>
      <c r="AD36" s="115">
        <f>'תקציב מפורט לספר '!AD395</f>
        <v>0</v>
      </c>
      <c r="AE36" s="115">
        <f>'תקציב מפורט לספר '!AE395</f>
        <v>3000000</v>
      </c>
      <c r="AF36" s="115">
        <f>'תקציב מפורט לספר '!AF395</f>
        <v>0</v>
      </c>
      <c r="AG36" s="115">
        <f>'תקציב מפורט לספר '!AG395</f>
        <v>0</v>
      </c>
      <c r="AH36" s="119">
        <f>'תקציב מפורט לספר '!AH395</f>
        <v>0</v>
      </c>
      <c r="AI36" s="115" t="e">
        <f>SUM(#REF!)</f>
        <v>#REF!</v>
      </c>
      <c r="AJ36" s="120" t="e">
        <f>SUM(#REF!)</f>
        <v>#REF!</v>
      </c>
      <c r="AK36" s="120" t="e">
        <f>SUM(#REF!)</f>
        <v>#REF!</v>
      </c>
      <c r="AL36" s="120" t="e">
        <f>SUM(#REF!)</f>
        <v>#REF!</v>
      </c>
      <c r="AM36" s="117" t="e">
        <f>SUM(#REF!)</f>
        <v>#REF!</v>
      </c>
      <c r="AN36" s="119" t="e">
        <f>SUM(#REF!)</f>
        <v>#REF!</v>
      </c>
      <c r="AO36" s="39" t="e">
        <f>SUM(#REF!)</f>
        <v>#REF!</v>
      </c>
      <c r="AP36" s="10" t="e">
        <f>SUM(#REF!)</f>
        <v>#REF!</v>
      </c>
      <c r="AQ36" s="10" t="e">
        <f>SUM(#REF!)</f>
        <v>#REF!</v>
      </c>
      <c r="AR36" s="10" t="e">
        <f>SUM(#REF!)</f>
        <v>#REF!</v>
      </c>
      <c r="AS36" s="10" t="e">
        <f>SUM(#REF!)</f>
        <v>#REF!</v>
      </c>
      <c r="AT36" s="10" t="e">
        <f>SUM(#REF!)</f>
        <v>#REF!</v>
      </c>
      <c r="AU36" s="10" t="e">
        <f>SUM(#REF!)</f>
        <v>#REF!</v>
      </c>
      <c r="AV36" s="10" t="e">
        <f>SUM(#REF!)</f>
        <v>#REF!</v>
      </c>
      <c r="AW36" s="10" t="e">
        <f t="shared" si="5"/>
        <v>#REF!</v>
      </c>
      <c r="AY36" s="11" t="e">
        <f t="shared" si="0"/>
        <v>#REF!</v>
      </c>
    </row>
    <row r="37" spans="5:56" ht="60" customHeight="1" x14ac:dyDescent="0.2">
      <c r="E37" s="149"/>
      <c r="F37" s="127" t="s">
        <v>202</v>
      </c>
      <c r="G37" s="118" t="e">
        <f>SUM(#REF!)</f>
        <v>#REF!</v>
      </c>
      <c r="H37" s="116" t="e">
        <f>SUM(#REF!)</f>
        <v>#REF!</v>
      </c>
      <c r="I37" s="115" t="e">
        <f>SUM(#REF!)</f>
        <v>#REF!</v>
      </c>
      <c r="J37" s="117" t="e">
        <f>SUM(#REF!)</f>
        <v>#REF!</v>
      </c>
      <c r="K37" s="115" t="e">
        <f>SUM(#REF!)</f>
        <v>#REF!</v>
      </c>
      <c r="L37" s="117" t="e">
        <f>SUM(#REF!)</f>
        <v>#REF!</v>
      </c>
      <c r="M37" s="115" t="e">
        <f>SUM(#REF!)</f>
        <v>#REF!</v>
      </c>
      <c r="N37" s="117" t="e">
        <f>SUM(#REF!)</f>
        <v>#REF!</v>
      </c>
      <c r="O37" s="115" t="e">
        <f>SUM(#REF!)</f>
        <v>#REF!</v>
      </c>
      <c r="P37" s="117" t="e">
        <f>SUM(#REF!)</f>
        <v>#REF!</v>
      </c>
      <c r="Q37" s="115" t="e">
        <f>SUM(#REF!)</f>
        <v>#REF!</v>
      </c>
      <c r="R37" s="117" t="e">
        <f>SUM(#REF!)</f>
        <v>#REF!</v>
      </c>
      <c r="S37" s="118" t="e">
        <f>SUM(#REF!)</f>
        <v>#REF!</v>
      </c>
      <c r="T37" s="120" t="e">
        <f>SUM(#REF!)</f>
        <v>#REF!</v>
      </c>
      <c r="U37" s="116" t="e">
        <f>SUM(#REF!)</f>
        <v>#REF!</v>
      </c>
      <c r="V37" s="119" t="e">
        <f>SUM(#REF!)</f>
        <v>#REF!</v>
      </c>
      <c r="W37" s="115">
        <f>'תקציב מפורט לספר '!W403</f>
        <v>410000</v>
      </c>
      <c r="X37" s="115">
        <f>'תקציב מפורט לספר '!X403</f>
        <v>0</v>
      </c>
      <c r="Y37" s="115">
        <f>'תקציב מפורט לספר '!Y403</f>
        <v>0</v>
      </c>
      <c r="Z37" s="115">
        <f>'תקציב מפורט לספר '!Z403</f>
        <v>0</v>
      </c>
      <c r="AA37" s="115">
        <f>'תקציב מפורט לספר '!AA403</f>
        <v>410000</v>
      </c>
      <c r="AB37" s="115">
        <f>'תקציב מפורט לספר '!AB403</f>
        <v>0</v>
      </c>
      <c r="AC37" s="115">
        <f>'תקציב מפורט לספר '!AC403</f>
        <v>1906000</v>
      </c>
      <c r="AD37" s="115">
        <f>'תקציב מפורט לספר '!AD403</f>
        <v>0</v>
      </c>
      <c r="AE37" s="115">
        <f>'תקציב מפורט לספר '!AE403</f>
        <v>0</v>
      </c>
      <c r="AF37" s="115">
        <f>'תקציב מפורט לספר '!AF403</f>
        <v>0</v>
      </c>
      <c r="AG37" s="115">
        <f>'תקציב מפורט לספר '!AG403</f>
        <v>1906000</v>
      </c>
      <c r="AH37" s="119">
        <f>'תקציב מפורט לספר '!AH403</f>
        <v>0</v>
      </c>
      <c r="AI37" s="115" t="e">
        <f>SUM(#REF!)</f>
        <v>#REF!</v>
      </c>
      <c r="AJ37" s="120" t="e">
        <f>SUM(#REF!)</f>
        <v>#REF!</v>
      </c>
      <c r="AK37" s="120" t="e">
        <f>SUM(#REF!)</f>
        <v>#REF!</v>
      </c>
      <c r="AL37" s="120" t="e">
        <f>SUM(#REF!)</f>
        <v>#REF!</v>
      </c>
      <c r="AM37" s="117" t="e">
        <f>SUM(#REF!)</f>
        <v>#REF!</v>
      </c>
      <c r="AN37" s="119" t="e">
        <f>SUM(#REF!)</f>
        <v>#REF!</v>
      </c>
      <c r="AO37" s="39" t="e">
        <f>SUM(#REF!)</f>
        <v>#REF!</v>
      </c>
      <c r="AP37" s="10" t="e">
        <f>SUM(#REF!)</f>
        <v>#REF!</v>
      </c>
      <c r="AQ37" s="10" t="e">
        <f>SUM(#REF!)</f>
        <v>#REF!</v>
      </c>
      <c r="AR37" s="10" t="e">
        <f>SUM(#REF!)</f>
        <v>#REF!</v>
      </c>
      <c r="AS37" s="10" t="e">
        <f>SUM(#REF!)</f>
        <v>#REF!</v>
      </c>
      <c r="AT37" s="10" t="e">
        <f>SUM(#REF!)</f>
        <v>#REF!</v>
      </c>
      <c r="AU37" s="10" t="e">
        <f>SUM(#REF!)</f>
        <v>#REF!</v>
      </c>
      <c r="AV37" s="10" t="e">
        <f>SUM(#REF!)</f>
        <v>#REF!</v>
      </c>
      <c r="AW37" s="10" t="e">
        <f t="shared" si="5"/>
        <v>#REF!</v>
      </c>
      <c r="AX37" s="10" t="e">
        <f>SUM(#REF!)</f>
        <v>#REF!</v>
      </c>
      <c r="AY37" s="11" t="e">
        <f t="shared" si="0"/>
        <v>#REF!</v>
      </c>
    </row>
    <row r="38" spans="5:56" ht="60" customHeight="1" x14ac:dyDescent="0.2">
      <c r="E38" s="150">
        <v>4</v>
      </c>
      <c r="F38" s="127" t="s">
        <v>203</v>
      </c>
      <c r="G38" s="118" t="e">
        <f>G37+G36+G35+G34+G33+#REF!+G24+G23+G22</f>
        <v>#REF!</v>
      </c>
      <c r="H38" s="116" t="e">
        <f>H37+H36+H35+H34+H33+#REF!+H24+H23+H22</f>
        <v>#REF!</v>
      </c>
      <c r="I38" s="115" t="e">
        <f>I37+I36+I35+I34+I33+#REF!+I24+I23+I22</f>
        <v>#REF!</v>
      </c>
      <c r="J38" s="117" t="e">
        <f>J37+J36+J35+J34+J33+#REF!+J24+J23+J22</f>
        <v>#REF!</v>
      </c>
      <c r="K38" s="115" t="e">
        <f>K37+K36+K35+K34+K33+#REF!+K24+K23+K22</f>
        <v>#REF!</v>
      </c>
      <c r="L38" s="117" t="e">
        <f>L37+L36+L35+L34+L33+#REF!+L24+L23+L22</f>
        <v>#REF!</v>
      </c>
      <c r="M38" s="115" t="e">
        <f>M37+M36+M35+M34+M33+#REF!+M24+M23+M22</f>
        <v>#REF!</v>
      </c>
      <c r="N38" s="117" t="e">
        <f>N37+N36+N35+N34+N33+#REF!+N24+N23+N22</f>
        <v>#REF!</v>
      </c>
      <c r="O38" s="115" t="e">
        <f>O37+O36+O35+O34+O33+#REF!+O24+O23+O22</f>
        <v>#REF!</v>
      </c>
      <c r="P38" s="117" t="e">
        <f>P37+P36+P35+P34+P33+#REF!+P24+P23+P22</f>
        <v>#REF!</v>
      </c>
      <c r="Q38" s="115" t="e">
        <f>Q37+Q36+Q35+Q34+Q33+#REF!+Q24+Q23+Q22</f>
        <v>#REF!</v>
      </c>
      <c r="R38" s="117" t="e">
        <f>R37+R36+R35+R34+R33+#REF!+R24+R23+R22</f>
        <v>#REF!</v>
      </c>
      <c r="S38" s="118" t="e">
        <f>S37+S36+S35+S34+S33+#REF!+S24+S23+S22</f>
        <v>#REF!</v>
      </c>
      <c r="T38" s="120" t="e">
        <f>T37+T36+T35+T34+T33+#REF!+T24+T23+T22</f>
        <v>#REF!</v>
      </c>
      <c r="U38" s="116" t="e">
        <f>U37+U36+U35+U34+U33+#REF!+U24+U23+U22</f>
        <v>#REF!</v>
      </c>
      <c r="V38" s="119" t="e">
        <f>V37+V36+V35+V34+V33+#REF!+V24+V23+V22</f>
        <v>#REF!</v>
      </c>
      <c r="W38" s="115">
        <f>'תקציב מפורט לספר '!W404</f>
        <v>202067000</v>
      </c>
      <c r="X38" s="115">
        <f>'תקציב מפורט לספר '!X404</f>
        <v>40790000</v>
      </c>
      <c r="Y38" s="115">
        <f>'תקציב מפורט לספר '!Y404</f>
        <v>30955000</v>
      </c>
      <c r="Z38" s="115">
        <f>'תקציב מפורט לספר '!Z404</f>
        <v>24205000</v>
      </c>
      <c r="AA38" s="115">
        <f>'תקציב מפורט לספר '!AA404</f>
        <v>104079500</v>
      </c>
      <c r="AB38" s="115">
        <f>'תקציב מפורט לספר '!AB404</f>
        <v>2037500</v>
      </c>
      <c r="AC38" s="115">
        <f>'תקציב מפורט לספר '!AC404</f>
        <v>131683000</v>
      </c>
      <c r="AD38" s="115">
        <f>'תקציב מפורט לספר '!AD404</f>
        <v>1960000</v>
      </c>
      <c r="AE38" s="115">
        <f>'תקציב מפורט לספר '!AE404</f>
        <v>48203000</v>
      </c>
      <c r="AF38" s="115">
        <f>'תקציב מפורט לספר '!AF404</f>
        <v>34182000</v>
      </c>
      <c r="AG38" s="115">
        <f>'תקציב מפורט לספר '!AG404</f>
        <v>43293500</v>
      </c>
      <c r="AH38" s="119">
        <f>'תקציב מפורט לספר '!AH404</f>
        <v>4044500</v>
      </c>
      <c r="AI38" s="115" t="e">
        <f>AI37+AI36+AI35+AI34+AI33+#REF!+AI24+AI23+AI22</f>
        <v>#REF!</v>
      </c>
      <c r="AJ38" s="120" t="e">
        <f>AJ37+AJ36+AJ35+AJ34+AJ33+#REF!+AJ24+AJ23+AJ22</f>
        <v>#REF!</v>
      </c>
      <c r="AK38" s="120" t="e">
        <f>AK37+AK36+AK35+AK34+AK33+#REF!+AK24+AK23+AK22</f>
        <v>#REF!</v>
      </c>
      <c r="AL38" s="120" t="e">
        <f>AL37+AL36+AL35+AL34+AL33+#REF!+AL24+AL23+AL22</f>
        <v>#REF!</v>
      </c>
      <c r="AM38" s="117" t="e">
        <f>AM37+AM36+AM35+AM34+AM33+#REF!+AM24+AM23+AM22</f>
        <v>#REF!</v>
      </c>
      <c r="AN38" s="119" t="e">
        <f>AN37+AN36+AN35+AN34+AN33+#REF!+AN24+AN23+AN22</f>
        <v>#REF!</v>
      </c>
      <c r="AO38" s="39" t="e">
        <f t="shared" ref="AO38:AV38" si="6">AO37+AO36+AO35+AO34+AO33+AO32+AO31+AO30+AO29+AO28+AO26+AO24+AO23+AO22</f>
        <v>#REF!</v>
      </c>
      <c r="AP38" s="10" t="e">
        <f t="shared" si="6"/>
        <v>#REF!</v>
      </c>
      <c r="AQ38" s="10" t="e">
        <f t="shared" si="6"/>
        <v>#REF!</v>
      </c>
      <c r="AR38" s="10" t="e">
        <f t="shared" si="6"/>
        <v>#REF!</v>
      </c>
      <c r="AS38" s="10" t="e">
        <f t="shared" si="6"/>
        <v>#REF!</v>
      </c>
      <c r="AT38" s="10" t="e">
        <f t="shared" si="6"/>
        <v>#REF!</v>
      </c>
      <c r="AU38" s="10" t="e">
        <f t="shared" si="6"/>
        <v>#REF!</v>
      </c>
      <c r="AV38" s="10" t="e">
        <f t="shared" si="6"/>
        <v>#REF!</v>
      </c>
      <c r="AW38" s="10" t="e">
        <f t="shared" si="5"/>
        <v>#REF!</v>
      </c>
      <c r="AY38" s="11" t="e">
        <f t="shared" si="0"/>
        <v>#REF!</v>
      </c>
      <c r="BD38" s="61"/>
    </row>
    <row r="39" spans="5:56" ht="60" customHeight="1" x14ac:dyDescent="0.2">
      <c r="E39" s="149"/>
      <c r="F39" s="127" t="s">
        <v>211</v>
      </c>
      <c r="G39" s="118" t="e">
        <f>SUM(#REF!)</f>
        <v>#REF!</v>
      </c>
      <c r="H39" s="116" t="e">
        <f>SUM(#REF!)</f>
        <v>#REF!</v>
      </c>
      <c r="I39" s="115" t="e">
        <f>SUM(#REF!)</f>
        <v>#REF!</v>
      </c>
      <c r="J39" s="117" t="e">
        <f>SUM(#REF!)</f>
        <v>#REF!</v>
      </c>
      <c r="K39" s="115" t="e">
        <f>SUM(#REF!)</f>
        <v>#REF!</v>
      </c>
      <c r="L39" s="117" t="e">
        <f>SUM(#REF!)</f>
        <v>#REF!</v>
      </c>
      <c r="M39" s="115" t="e">
        <f>SUM(#REF!)</f>
        <v>#REF!</v>
      </c>
      <c r="N39" s="117" t="e">
        <f>SUM(#REF!)</f>
        <v>#REF!</v>
      </c>
      <c r="O39" s="115" t="e">
        <f>SUM(#REF!)</f>
        <v>#REF!</v>
      </c>
      <c r="P39" s="117" t="e">
        <f>SUM(#REF!)</f>
        <v>#REF!</v>
      </c>
      <c r="Q39" s="115" t="e">
        <f>SUM(#REF!)</f>
        <v>#REF!</v>
      </c>
      <c r="R39" s="117" t="e">
        <f>SUM(#REF!)</f>
        <v>#REF!</v>
      </c>
      <c r="S39" s="118" t="e">
        <f>SUM(#REF!)</f>
        <v>#REF!</v>
      </c>
      <c r="T39" s="120" t="e">
        <f>SUM(#REF!)</f>
        <v>#REF!</v>
      </c>
      <c r="U39" s="116" t="e">
        <f>SUM(#REF!)</f>
        <v>#REF!</v>
      </c>
      <c r="V39" s="119" t="e">
        <f>SUM(#REF!)</f>
        <v>#REF!</v>
      </c>
      <c r="W39" s="115">
        <f>'תקציב מפורט לספר '!W414</f>
        <v>1200000</v>
      </c>
      <c r="X39" s="115">
        <f>'תקציב מפורט לספר '!X414</f>
        <v>0</v>
      </c>
      <c r="Y39" s="115">
        <f>'תקציב מפורט לספר '!Y414</f>
        <v>0</v>
      </c>
      <c r="Z39" s="115">
        <f>'תקציב מפורט לספר '!Z414</f>
        <v>0</v>
      </c>
      <c r="AA39" s="115">
        <f>'תקציב מפורט לספר '!AA414</f>
        <v>500000</v>
      </c>
      <c r="AB39" s="115">
        <f>'תקציב מפורט לספר '!AB414</f>
        <v>700000</v>
      </c>
      <c r="AC39" s="115">
        <f>'תקציב מפורט לספר '!AC414</f>
        <v>6000000</v>
      </c>
      <c r="AD39" s="115">
        <f>'תקציב מפורט לספר '!AD414</f>
        <v>0</v>
      </c>
      <c r="AE39" s="115">
        <f>'תקציב מפורט לספר '!AE414</f>
        <v>0</v>
      </c>
      <c r="AF39" s="115">
        <f>'תקציב מפורט לספר '!AF414</f>
        <v>0</v>
      </c>
      <c r="AG39" s="115">
        <f>'תקציב מפורט לספר '!AG414</f>
        <v>1750000</v>
      </c>
      <c r="AH39" s="119">
        <f>'תקציב מפורט לספר '!AH414</f>
        <v>4250000</v>
      </c>
      <c r="AI39" s="115" t="e">
        <f>SUM(#REF!)</f>
        <v>#REF!</v>
      </c>
      <c r="AJ39" s="120" t="e">
        <f>SUM(#REF!)</f>
        <v>#REF!</v>
      </c>
      <c r="AK39" s="120" t="e">
        <f>SUM(#REF!)</f>
        <v>#REF!</v>
      </c>
      <c r="AL39" s="120" t="e">
        <f>SUM(#REF!)</f>
        <v>#REF!</v>
      </c>
      <c r="AM39" s="117" t="e">
        <f>SUM(#REF!)</f>
        <v>#REF!</v>
      </c>
      <c r="AN39" s="119" t="e">
        <f>SUM(#REF!)</f>
        <v>#REF!</v>
      </c>
      <c r="AO39" s="39" t="e">
        <f>SUM(#REF!)</f>
        <v>#REF!</v>
      </c>
      <c r="AP39" s="10" t="e">
        <f>SUM(#REF!)</f>
        <v>#REF!</v>
      </c>
      <c r="AQ39" s="10" t="e">
        <f>SUM(#REF!)</f>
        <v>#REF!</v>
      </c>
      <c r="AR39" s="10" t="e">
        <f>SUM(#REF!)</f>
        <v>#REF!</v>
      </c>
      <c r="AS39" s="10" t="e">
        <f>SUM(#REF!)</f>
        <v>#REF!</v>
      </c>
      <c r="AT39" s="10" t="e">
        <f>SUM(#REF!)</f>
        <v>#REF!</v>
      </c>
      <c r="AU39" s="10" t="e">
        <f>SUM(#REF!)</f>
        <v>#REF!</v>
      </c>
      <c r="AV39" s="10" t="e">
        <f>SUM(#REF!)</f>
        <v>#REF!</v>
      </c>
      <c r="AW39" s="10" t="e">
        <f t="shared" si="5"/>
        <v>#REF!</v>
      </c>
      <c r="AY39" s="11" t="e">
        <f t="shared" si="0"/>
        <v>#REF!</v>
      </c>
    </row>
    <row r="40" spans="5:56" ht="60" customHeight="1" x14ac:dyDescent="0.2">
      <c r="E40" s="149"/>
      <c r="F40" s="127" t="s">
        <v>219</v>
      </c>
      <c r="G40" s="118" t="e">
        <f>SUM(#REF!)</f>
        <v>#REF!</v>
      </c>
      <c r="H40" s="116" t="e">
        <f>SUM(#REF!)</f>
        <v>#REF!</v>
      </c>
      <c r="I40" s="115" t="e">
        <f>SUM(#REF!)</f>
        <v>#REF!</v>
      </c>
      <c r="J40" s="117" t="e">
        <f>SUM(#REF!)</f>
        <v>#REF!</v>
      </c>
      <c r="K40" s="115" t="e">
        <f>SUM(#REF!)</f>
        <v>#REF!</v>
      </c>
      <c r="L40" s="117" t="e">
        <f>SUM(#REF!)</f>
        <v>#REF!</v>
      </c>
      <c r="M40" s="115" t="e">
        <f>SUM(#REF!)</f>
        <v>#REF!</v>
      </c>
      <c r="N40" s="117" t="e">
        <f>SUM(#REF!)</f>
        <v>#REF!</v>
      </c>
      <c r="O40" s="115" t="e">
        <f>SUM(#REF!)</f>
        <v>#REF!</v>
      </c>
      <c r="P40" s="117" t="e">
        <f>SUM(#REF!)</f>
        <v>#REF!</v>
      </c>
      <c r="Q40" s="115" t="e">
        <f>SUM(#REF!)</f>
        <v>#REF!</v>
      </c>
      <c r="R40" s="117" t="e">
        <f>SUM(#REF!)</f>
        <v>#REF!</v>
      </c>
      <c r="S40" s="118" t="e">
        <f>SUM(#REF!)</f>
        <v>#REF!</v>
      </c>
      <c r="T40" s="120" t="e">
        <f>SUM(#REF!)</f>
        <v>#REF!</v>
      </c>
      <c r="U40" s="116" t="e">
        <f>SUM(#REF!)</f>
        <v>#REF!</v>
      </c>
      <c r="V40" s="119" t="e">
        <f>SUM(#REF!)</f>
        <v>#REF!</v>
      </c>
      <c r="W40" s="115">
        <f>'תקציב מפורט לספר '!W427</f>
        <v>3575000</v>
      </c>
      <c r="X40" s="115">
        <f>'תקציב מפורט לספר '!X427</f>
        <v>0</v>
      </c>
      <c r="Y40" s="115">
        <f>'תקציב מפורט לספר '!Y427</f>
        <v>0</v>
      </c>
      <c r="Z40" s="115">
        <f>'תקציב מפורט לספר '!Z427</f>
        <v>0</v>
      </c>
      <c r="AA40" s="115">
        <f>'תקציב מפורט לספר '!AA427</f>
        <v>2675000</v>
      </c>
      <c r="AB40" s="115">
        <f>'תקציב מפורט לספר '!AB427</f>
        <v>900000</v>
      </c>
      <c r="AC40" s="115">
        <f>'תקציב מפורט לספר '!AC427</f>
        <v>11720000</v>
      </c>
      <c r="AD40" s="115">
        <f>'תקציב מפורט לספר '!AD427</f>
        <v>0</v>
      </c>
      <c r="AE40" s="115">
        <f>'תקציב מפורט לספר '!AE427</f>
        <v>0</v>
      </c>
      <c r="AF40" s="115">
        <f>'תקציב מפורט לספר '!AF427</f>
        <v>0</v>
      </c>
      <c r="AG40" s="115">
        <f>'תקציב מפורט לספר '!AG427</f>
        <v>6935000</v>
      </c>
      <c r="AH40" s="119">
        <f>'תקציב מפורט לספר '!AH427</f>
        <v>4785000</v>
      </c>
      <c r="AI40" s="115" t="e">
        <f>SUM(#REF!)</f>
        <v>#REF!</v>
      </c>
      <c r="AJ40" s="120" t="e">
        <f>SUM(#REF!)</f>
        <v>#REF!</v>
      </c>
      <c r="AK40" s="120" t="e">
        <f>SUM(#REF!)</f>
        <v>#REF!</v>
      </c>
      <c r="AL40" s="120" t="e">
        <f>SUM(#REF!)</f>
        <v>#REF!</v>
      </c>
      <c r="AM40" s="117" t="e">
        <f>SUM(#REF!)</f>
        <v>#REF!</v>
      </c>
      <c r="AN40" s="119" t="e">
        <f>SUM(#REF!)</f>
        <v>#REF!</v>
      </c>
      <c r="AO40" s="39" t="e">
        <f>SUM(#REF!)</f>
        <v>#REF!</v>
      </c>
      <c r="AP40" s="10" t="e">
        <f>SUM(#REF!)</f>
        <v>#REF!</v>
      </c>
      <c r="AQ40" s="10" t="e">
        <f>SUM(#REF!)</f>
        <v>#REF!</v>
      </c>
      <c r="AR40" s="10" t="e">
        <f>SUM(#REF!)</f>
        <v>#REF!</v>
      </c>
      <c r="AS40" s="10" t="e">
        <f>SUM(#REF!)</f>
        <v>#REF!</v>
      </c>
      <c r="AT40" s="10" t="e">
        <f>SUM(#REF!)</f>
        <v>#REF!</v>
      </c>
      <c r="AU40" s="10" t="e">
        <f>SUM(#REF!)</f>
        <v>#REF!</v>
      </c>
      <c r="AV40" s="10" t="e">
        <f>SUM(#REF!)</f>
        <v>#REF!</v>
      </c>
      <c r="AW40" s="10" t="e">
        <f t="shared" ref="AW40:AW50" si="7">AP40-AQ40-AV40</f>
        <v>#REF!</v>
      </c>
      <c r="AY40" s="11" t="e">
        <f t="shared" si="0"/>
        <v>#REF!</v>
      </c>
    </row>
    <row r="41" spans="5:56" ht="60" customHeight="1" x14ac:dyDescent="0.2">
      <c r="E41" s="149"/>
      <c r="F41" s="127" t="s">
        <v>551</v>
      </c>
      <c r="G41" s="118" t="e">
        <f>SUM(#REF!)</f>
        <v>#REF!</v>
      </c>
      <c r="H41" s="116" t="e">
        <f>SUM(#REF!)</f>
        <v>#REF!</v>
      </c>
      <c r="I41" s="115" t="e">
        <f>SUM(#REF!)</f>
        <v>#REF!</v>
      </c>
      <c r="J41" s="117" t="e">
        <f>SUM(#REF!)</f>
        <v>#REF!</v>
      </c>
      <c r="K41" s="115" t="e">
        <f>SUM(#REF!)</f>
        <v>#REF!</v>
      </c>
      <c r="L41" s="117" t="e">
        <f>SUM(#REF!)</f>
        <v>#REF!</v>
      </c>
      <c r="M41" s="115" t="e">
        <f>SUM(#REF!)</f>
        <v>#REF!</v>
      </c>
      <c r="N41" s="117" t="e">
        <f>SUM(#REF!)</f>
        <v>#REF!</v>
      </c>
      <c r="O41" s="115" t="e">
        <f>SUM(#REF!)</f>
        <v>#REF!</v>
      </c>
      <c r="P41" s="117" t="e">
        <f>SUM(#REF!)</f>
        <v>#REF!</v>
      </c>
      <c r="Q41" s="115" t="e">
        <f>SUM(#REF!)</f>
        <v>#REF!</v>
      </c>
      <c r="R41" s="117" t="e">
        <f>SUM(#REF!)</f>
        <v>#REF!</v>
      </c>
      <c r="S41" s="118" t="e">
        <f>SUM(#REF!)</f>
        <v>#REF!</v>
      </c>
      <c r="T41" s="120" t="e">
        <f>SUM(#REF!)</f>
        <v>#REF!</v>
      </c>
      <c r="U41" s="116" t="e">
        <f>SUM(#REF!)</f>
        <v>#REF!</v>
      </c>
      <c r="V41" s="119" t="e">
        <f>SUM(#REF!)</f>
        <v>#REF!</v>
      </c>
      <c r="W41" s="115">
        <f>'תקציב מפורט לספר '!W432</f>
        <v>1260000</v>
      </c>
      <c r="X41" s="115">
        <f>'תקציב מפורט לספר '!X432</f>
        <v>0</v>
      </c>
      <c r="Y41" s="115">
        <f>'תקציב מפורט לספר '!Y432</f>
        <v>0</v>
      </c>
      <c r="Z41" s="115">
        <f>'תקציב מפורט לספר '!Z432</f>
        <v>0</v>
      </c>
      <c r="AA41" s="115">
        <f>'תקציב מפורט לספר '!AA432</f>
        <v>1260000</v>
      </c>
      <c r="AB41" s="115">
        <f>'תקציב מפורט לספר '!AB432</f>
        <v>0</v>
      </c>
      <c r="AC41" s="115">
        <f>'תקציב מפורט לספר '!AC432</f>
        <v>700000</v>
      </c>
      <c r="AD41" s="115">
        <f>'תקציב מפורט לספר '!AD432</f>
        <v>0</v>
      </c>
      <c r="AE41" s="115">
        <f>'תקציב מפורט לספר '!AE432</f>
        <v>0</v>
      </c>
      <c r="AF41" s="115">
        <f>'תקציב מפורט לספר '!AF432</f>
        <v>0</v>
      </c>
      <c r="AG41" s="115">
        <f>'תקציב מפורט לספר '!AG432</f>
        <v>700000</v>
      </c>
      <c r="AH41" s="119">
        <f>'תקציב מפורט לספר '!AH432</f>
        <v>0</v>
      </c>
      <c r="AI41" s="115" t="e">
        <f>SUM(#REF!)</f>
        <v>#REF!</v>
      </c>
      <c r="AJ41" s="120" t="e">
        <f>SUM(#REF!)</f>
        <v>#REF!</v>
      </c>
      <c r="AK41" s="120" t="e">
        <f>SUM(#REF!)</f>
        <v>#REF!</v>
      </c>
      <c r="AL41" s="120" t="e">
        <f>SUM(#REF!)</f>
        <v>#REF!</v>
      </c>
      <c r="AM41" s="117" t="e">
        <f>SUM(#REF!)</f>
        <v>#REF!</v>
      </c>
      <c r="AN41" s="119" t="e">
        <f>SUM(#REF!)</f>
        <v>#REF!</v>
      </c>
      <c r="AO41" s="39" t="e">
        <f>SUM(#REF!)</f>
        <v>#REF!</v>
      </c>
      <c r="AP41" s="10" t="e">
        <f>SUM(#REF!)</f>
        <v>#REF!</v>
      </c>
      <c r="AQ41" s="10" t="e">
        <f>SUM(#REF!)</f>
        <v>#REF!</v>
      </c>
      <c r="AR41" s="10" t="e">
        <f>SUM(#REF!)</f>
        <v>#REF!</v>
      </c>
      <c r="AS41" s="10" t="e">
        <f>SUM(#REF!)</f>
        <v>#REF!</v>
      </c>
      <c r="AT41" s="10" t="e">
        <f>SUM(#REF!)</f>
        <v>#REF!</v>
      </c>
      <c r="AU41" s="10" t="e">
        <f>SUM(#REF!)</f>
        <v>#REF!</v>
      </c>
      <c r="AV41" s="10" t="e">
        <f>SUM(#REF!)</f>
        <v>#REF!</v>
      </c>
      <c r="AW41" s="10" t="e">
        <f t="shared" si="7"/>
        <v>#REF!</v>
      </c>
      <c r="AY41" s="11" t="e">
        <f t="shared" si="0"/>
        <v>#REF!</v>
      </c>
    </row>
    <row r="42" spans="5:56" ht="60" customHeight="1" x14ac:dyDescent="0.2">
      <c r="E42" s="150">
        <v>5</v>
      </c>
      <c r="F42" s="127" t="s">
        <v>221</v>
      </c>
      <c r="G42" s="118" t="e">
        <f t="shared" ref="G42:W42" si="8">G41+G40+G39</f>
        <v>#REF!</v>
      </c>
      <c r="H42" s="116" t="e">
        <f t="shared" si="8"/>
        <v>#REF!</v>
      </c>
      <c r="I42" s="115" t="e">
        <f t="shared" si="8"/>
        <v>#REF!</v>
      </c>
      <c r="J42" s="117" t="e">
        <f t="shared" si="8"/>
        <v>#REF!</v>
      </c>
      <c r="K42" s="115" t="e">
        <f t="shared" si="8"/>
        <v>#REF!</v>
      </c>
      <c r="L42" s="117" t="e">
        <f t="shared" si="8"/>
        <v>#REF!</v>
      </c>
      <c r="M42" s="115" t="e">
        <f t="shared" si="8"/>
        <v>#REF!</v>
      </c>
      <c r="N42" s="117" t="e">
        <f t="shared" si="8"/>
        <v>#REF!</v>
      </c>
      <c r="O42" s="115" t="e">
        <f t="shared" si="8"/>
        <v>#REF!</v>
      </c>
      <c r="P42" s="117" t="e">
        <f t="shared" si="8"/>
        <v>#REF!</v>
      </c>
      <c r="Q42" s="115" t="e">
        <f t="shared" si="8"/>
        <v>#REF!</v>
      </c>
      <c r="R42" s="117" t="e">
        <f t="shared" si="8"/>
        <v>#REF!</v>
      </c>
      <c r="S42" s="118" t="e">
        <f t="shared" si="8"/>
        <v>#REF!</v>
      </c>
      <c r="T42" s="120" t="e">
        <f t="shared" si="8"/>
        <v>#REF!</v>
      </c>
      <c r="U42" s="116" t="e">
        <f t="shared" si="8"/>
        <v>#REF!</v>
      </c>
      <c r="V42" s="119" t="e">
        <f t="shared" si="8"/>
        <v>#REF!</v>
      </c>
      <c r="W42" s="115">
        <f t="shared" si="8"/>
        <v>6035000</v>
      </c>
      <c r="X42" s="115">
        <f t="shared" ref="X42:AH42" si="9">X41+X40+X39</f>
        <v>0</v>
      </c>
      <c r="Y42" s="115">
        <f t="shared" si="9"/>
        <v>0</v>
      </c>
      <c r="Z42" s="115">
        <f t="shared" si="9"/>
        <v>0</v>
      </c>
      <c r="AA42" s="115">
        <f t="shared" si="9"/>
        <v>4435000</v>
      </c>
      <c r="AB42" s="115">
        <f t="shared" si="9"/>
        <v>1600000</v>
      </c>
      <c r="AC42" s="115">
        <f t="shared" si="9"/>
        <v>18420000</v>
      </c>
      <c r="AD42" s="115">
        <f t="shared" si="9"/>
        <v>0</v>
      </c>
      <c r="AE42" s="115">
        <f t="shared" si="9"/>
        <v>0</v>
      </c>
      <c r="AF42" s="115">
        <f t="shared" si="9"/>
        <v>0</v>
      </c>
      <c r="AG42" s="115">
        <f t="shared" si="9"/>
        <v>9385000</v>
      </c>
      <c r="AH42" s="119">
        <f t="shared" si="9"/>
        <v>9035000</v>
      </c>
      <c r="AI42" s="115" t="e">
        <f t="shared" ref="AI42:AV42" si="10">AI41+AI40+AI39</f>
        <v>#REF!</v>
      </c>
      <c r="AJ42" s="120" t="e">
        <f t="shared" si="10"/>
        <v>#REF!</v>
      </c>
      <c r="AK42" s="120" t="e">
        <f t="shared" si="10"/>
        <v>#REF!</v>
      </c>
      <c r="AL42" s="120" t="e">
        <f t="shared" si="10"/>
        <v>#REF!</v>
      </c>
      <c r="AM42" s="117" t="e">
        <f t="shared" si="10"/>
        <v>#REF!</v>
      </c>
      <c r="AN42" s="119" t="e">
        <f t="shared" si="10"/>
        <v>#REF!</v>
      </c>
      <c r="AO42" s="39" t="e">
        <f t="shared" si="10"/>
        <v>#REF!</v>
      </c>
      <c r="AP42" s="10" t="e">
        <f t="shared" si="10"/>
        <v>#REF!</v>
      </c>
      <c r="AQ42" s="10" t="e">
        <f t="shared" si="10"/>
        <v>#REF!</v>
      </c>
      <c r="AR42" s="10" t="e">
        <f t="shared" si="10"/>
        <v>#REF!</v>
      </c>
      <c r="AS42" s="10" t="e">
        <f t="shared" si="10"/>
        <v>#REF!</v>
      </c>
      <c r="AT42" s="10" t="e">
        <f t="shared" si="10"/>
        <v>#REF!</v>
      </c>
      <c r="AU42" s="10" t="e">
        <f t="shared" si="10"/>
        <v>#REF!</v>
      </c>
      <c r="AV42" s="10" t="e">
        <f t="shared" si="10"/>
        <v>#REF!</v>
      </c>
      <c r="AW42" s="10" t="e">
        <f t="shared" si="7"/>
        <v>#REF!</v>
      </c>
      <c r="AY42" s="11" t="e">
        <f t="shared" si="0"/>
        <v>#REF!</v>
      </c>
    </row>
    <row r="43" spans="5:56" ht="60" customHeight="1" x14ac:dyDescent="0.2">
      <c r="E43" s="150">
        <v>6</v>
      </c>
      <c r="F43" s="127" t="s">
        <v>226</v>
      </c>
      <c r="G43" s="118" t="e">
        <f>SUM(#REF!)</f>
        <v>#REF!</v>
      </c>
      <c r="H43" s="116" t="e">
        <f>SUM(#REF!)</f>
        <v>#REF!</v>
      </c>
      <c r="I43" s="115" t="e">
        <f>SUM(#REF!)</f>
        <v>#REF!</v>
      </c>
      <c r="J43" s="117" t="e">
        <f>SUM(#REF!)</f>
        <v>#REF!</v>
      </c>
      <c r="K43" s="115" t="e">
        <f>SUM(#REF!)</f>
        <v>#REF!</v>
      </c>
      <c r="L43" s="117" t="e">
        <f>SUM(#REF!)</f>
        <v>#REF!</v>
      </c>
      <c r="M43" s="115" t="e">
        <f>SUM(#REF!)</f>
        <v>#REF!</v>
      </c>
      <c r="N43" s="117" t="e">
        <f>SUM(#REF!)</f>
        <v>#REF!</v>
      </c>
      <c r="O43" s="115" t="e">
        <f>SUM(#REF!)</f>
        <v>#REF!</v>
      </c>
      <c r="P43" s="117" t="e">
        <f>SUM(#REF!)</f>
        <v>#REF!</v>
      </c>
      <c r="Q43" s="115" t="e">
        <f>SUM(#REF!)</f>
        <v>#REF!</v>
      </c>
      <c r="R43" s="117" t="e">
        <f>SUM(#REF!)</f>
        <v>#REF!</v>
      </c>
      <c r="S43" s="118" t="e">
        <f>SUM(#REF!)</f>
        <v>#REF!</v>
      </c>
      <c r="T43" s="120" t="e">
        <f>SUM(#REF!)</f>
        <v>#REF!</v>
      </c>
      <c r="U43" s="116" t="e">
        <f>SUM(#REF!)</f>
        <v>#REF!</v>
      </c>
      <c r="V43" s="119" t="e">
        <f>SUM(#REF!)</f>
        <v>#REF!</v>
      </c>
      <c r="W43" s="115">
        <f>'תקציב מפורט לספר '!W438</f>
        <v>1350000</v>
      </c>
      <c r="X43" s="115">
        <f>'תקציב מפורט לספר '!X438</f>
        <v>0</v>
      </c>
      <c r="Y43" s="115">
        <f>'תקציב מפורט לספר '!Y438</f>
        <v>0</v>
      </c>
      <c r="Z43" s="115">
        <f>'תקציב מפורט לספר '!Z438</f>
        <v>0</v>
      </c>
      <c r="AA43" s="115">
        <f>'תקציב מפורט לספר '!AA438</f>
        <v>1350000</v>
      </c>
      <c r="AB43" s="115">
        <f>'תקציב מפורט לספר '!AB438</f>
        <v>0</v>
      </c>
      <c r="AC43" s="115">
        <f>'תקציב מפורט לספר '!AC438</f>
        <v>1000000</v>
      </c>
      <c r="AD43" s="115">
        <f>'תקציב מפורט לספר '!AD438</f>
        <v>0</v>
      </c>
      <c r="AE43" s="115">
        <f>'תקציב מפורט לספר '!AE438</f>
        <v>0</v>
      </c>
      <c r="AF43" s="115">
        <f>'תקציב מפורט לספר '!AF438</f>
        <v>0</v>
      </c>
      <c r="AG43" s="115">
        <f>'תקציב מפורט לספר '!AG438</f>
        <v>1000000</v>
      </c>
      <c r="AH43" s="119">
        <f>'תקציב מפורט לספר '!AH438</f>
        <v>0</v>
      </c>
      <c r="AI43" s="115" t="e">
        <f>SUM(#REF!)</f>
        <v>#REF!</v>
      </c>
      <c r="AJ43" s="120" t="e">
        <f>SUM(#REF!)</f>
        <v>#REF!</v>
      </c>
      <c r="AK43" s="120" t="e">
        <f>SUM(#REF!)</f>
        <v>#REF!</v>
      </c>
      <c r="AL43" s="120" t="e">
        <f>SUM(#REF!)</f>
        <v>#REF!</v>
      </c>
      <c r="AM43" s="117" t="e">
        <f>SUM(#REF!)</f>
        <v>#REF!</v>
      </c>
      <c r="AN43" s="119" t="e">
        <f>SUM(#REF!)</f>
        <v>#REF!</v>
      </c>
      <c r="AO43" s="39" t="e">
        <f>SUM(#REF!)</f>
        <v>#REF!</v>
      </c>
      <c r="AP43" s="10" t="e">
        <f>SUM(#REF!)</f>
        <v>#REF!</v>
      </c>
      <c r="AQ43" s="10" t="e">
        <f>SUM(#REF!)</f>
        <v>#REF!</v>
      </c>
      <c r="AR43" s="10" t="e">
        <f>SUM(#REF!)</f>
        <v>#REF!</v>
      </c>
      <c r="AS43" s="10" t="e">
        <f>SUM(#REF!)</f>
        <v>#REF!</v>
      </c>
      <c r="AT43" s="10" t="e">
        <f>SUM(#REF!)</f>
        <v>#REF!</v>
      </c>
      <c r="AU43" s="10" t="e">
        <f>SUM(#REF!)</f>
        <v>#REF!</v>
      </c>
      <c r="AV43" s="10" t="e">
        <f>SUM(#REF!)</f>
        <v>#REF!</v>
      </c>
      <c r="AW43" s="10" t="e">
        <f t="shared" si="7"/>
        <v>#REF!</v>
      </c>
      <c r="AY43" s="11" t="e">
        <f t="shared" si="0"/>
        <v>#REF!</v>
      </c>
    </row>
    <row r="44" spans="5:56" ht="60" customHeight="1" x14ac:dyDescent="0.2">
      <c r="E44" s="150">
        <v>7</v>
      </c>
      <c r="F44" s="127" t="s">
        <v>233</v>
      </c>
      <c r="G44" s="118" t="e">
        <f>SUM(#REF!)</f>
        <v>#REF!</v>
      </c>
      <c r="H44" s="116" t="e">
        <f>SUM(#REF!)</f>
        <v>#REF!</v>
      </c>
      <c r="I44" s="115" t="e">
        <f>SUM(#REF!)</f>
        <v>#REF!</v>
      </c>
      <c r="J44" s="117" t="e">
        <f>SUM(#REF!)</f>
        <v>#REF!</v>
      </c>
      <c r="K44" s="115" t="e">
        <f>SUM(#REF!)</f>
        <v>#REF!</v>
      </c>
      <c r="L44" s="117" t="e">
        <f>SUM(#REF!)</f>
        <v>#REF!</v>
      </c>
      <c r="M44" s="115" t="e">
        <f>SUM(#REF!)</f>
        <v>#REF!</v>
      </c>
      <c r="N44" s="117" t="e">
        <f>SUM(#REF!)</f>
        <v>#REF!</v>
      </c>
      <c r="O44" s="115" t="e">
        <f>SUM(#REF!)</f>
        <v>#REF!</v>
      </c>
      <c r="P44" s="117" t="e">
        <f>SUM(#REF!)</f>
        <v>#REF!</v>
      </c>
      <c r="Q44" s="115" t="e">
        <f>SUM(#REF!)</f>
        <v>#REF!</v>
      </c>
      <c r="R44" s="117" t="e">
        <f>SUM(#REF!)</f>
        <v>#REF!</v>
      </c>
      <c r="S44" s="118" t="e">
        <f>SUM(#REF!)</f>
        <v>#REF!</v>
      </c>
      <c r="T44" s="120" t="e">
        <f>SUM(#REF!)</f>
        <v>#REF!</v>
      </c>
      <c r="U44" s="116" t="e">
        <f>SUM(#REF!)</f>
        <v>#REF!</v>
      </c>
      <c r="V44" s="119" t="e">
        <f>SUM(#REF!)</f>
        <v>#REF!</v>
      </c>
      <c r="W44" s="115">
        <f>'תקציב מפורט לספר '!W451</f>
        <v>9638000</v>
      </c>
      <c r="X44" s="115">
        <f>'תקציב מפורט לספר '!X451</f>
        <v>3500000</v>
      </c>
      <c r="Y44" s="115">
        <f>'תקציב מפורט לספר '!Y451</f>
        <v>200000</v>
      </c>
      <c r="Z44" s="115">
        <f>'תקציב מפורט לספר '!Z451</f>
        <v>0</v>
      </c>
      <c r="AA44" s="115">
        <f>'תקציב מפורט לספר '!AA451</f>
        <v>2969000</v>
      </c>
      <c r="AB44" s="115">
        <f>'תקציב מפורט לספר '!AB451</f>
        <v>2969000</v>
      </c>
      <c r="AC44" s="115">
        <f>'תקציב מפורט לספר '!AC451</f>
        <v>39913000</v>
      </c>
      <c r="AD44" s="115">
        <f>'תקציב מפורט לספר '!AD451</f>
        <v>0</v>
      </c>
      <c r="AE44" s="115">
        <f>'תקציב מפורט לספר '!AE451</f>
        <v>10700000</v>
      </c>
      <c r="AF44" s="115">
        <f>'תקציב מפורט לספר '!AF451</f>
        <v>10700000</v>
      </c>
      <c r="AG44" s="115">
        <f>'תקציב מפורט לספר '!AG451</f>
        <v>16738000</v>
      </c>
      <c r="AH44" s="119">
        <f>'תקציב מפורט לספר '!AH451</f>
        <v>1775000</v>
      </c>
      <c r="AI44" s="115" t="e">
        <f>SUM(#REF!)</f>
        <v>#REF!</v>
      </c>
      <c r="AJ44" s="120" t="e">
        <f>SUM(#REF!)</f>
        <v>#REF!</v>
      </c>
      <c r="AK44" s="120" t="e">
        <f>SUM(#REF!)</f>
        <v>#REF!</v>
      </c>
      <c r="AL44" s="120" t="e">
        <f>SUM(#REF!)</f>
        <v>#REF!</v>
      </c>
      <c r="AM44" s="117" t="e">
        <f>SUM(#REF!)</f>
        <v>#REF!</v>
      </c>
      <c r="AN44" s="119" t="e">
        <f>SUM(#REF!)</f>
        <v>#REF!</v>
      </c>
      <c r="AO44" s="39" t="e">
        <f>SUM(#REF!)</f>
        <v>#REF!</v>
      </c>
      <c r="AP44" s="10" t="e">
        <f>SUM(#REF!)</f>
        <v>#REF!</v>
      </c>
      <c r="AQ44" s="10" t="e">
        <f>SUM(#REF!)</f>
        <v>#REF!</v>
      </c>
      <c r="AR44" s="10" t="e">
        <f>SUM(#REF!)</f>
        <v>#REF!</v>
      </c>
      <c r="AS44" s="10" t="e">
        <f>SUM(#REF!)</f>
        <v>#REF!</v>
      </c>
      <c r="AT44" s="10" t="e">
        <f>SUM(#REF!)</f>
        <v>#REF!</v>
      </c>
      <c r="AU44" s="10" t="e">
        <f>SUM(#REF!)</f>
        <v>#REF!</v>
      </c>
      <c r="AV44" s="10" t="e">
        <f>SUM(#REF!)</f>
        <v>#REF!</v>
      </c>
      <c r="AW44" s="10" t="e">
        <f t="shared" si="7"/>
        <v>#REF!</v>
      </c>
      <c r="AY44" s="11" t="e">
        <f t="shared" si="0"/>
        <v>#REF!</v>
      </c>
    </row>
    <row r="45" spans="5:56" ht="60" customHeight="1" x14ac:dyDescent="0.2">
      <c r="E45" s="149"/>
      <c r="F45" s="127" t="s">
        <v>553</v>
      </c>
      <c r="G45" s="118" t="e">
        <f>SUM(#REF!)</f>
        <v>#REF!</v>
      </c>
      <c r="H45" s="116" t="e">
        <f>SUM(#REF!)</f>
        <v>#REF!</v>
      </c>
      <c r="I45" s="115" t="e">
        <f>SUM(#REF!)</f>
        <v>#REF!</v>
      </c>
      <c r="J45" s="117" t="e">
        <f>SUM(#REF!)</f>
        <v>#REF!</v>
      </c>
      <c r="K45" s="115" t="e">
        <f>SUM(#REF!)</f>
        <v>#REF!</v>
      </c>
      <c r="L45" s="117" t="e">
        <f>SUM(#REF!)</f>
        <v>#REF!</v>
      </c>
      <c r="M45" s="115" t="e">
        <f>SUM(#REF!)</f>
        <v>#REF!</v>
      </c>
      <c r="N45" s="117" t="e">
        <f>SUM(#REF!)</f>
        <v>#REF!</v>
      </c>
      <c r="O45" s="115" t="e">
        <f>SUM(#REF!)</f>
        <v>#REF!</v>
      </c>
      <c r="P45" s="117" t="e">
        <f>SUM(#REF!)</f>
        <v>#REF!</v>
      </c>
      <c r="Q45" s="115" t="e">
        <f>SUM(#REF!)</f>
        <v>#REF!</v>
      </c>
      <c r="R45" s="117" t="e">
        <f>SUM(#REF!)</f>
        <v>#REF!</v>
      </c>
      <c r="S45" s="118" t="e">
        <f>SUM(#REF!)</f>
        <v>#REF!</v>
      </c>
      <c r="T45" s="120" t="e">
        <f>SUM(#REF!)</f>
        <v>#REF!</v>
      </c>
      <c r="U45" s="116" t="e">
        <f>SUM(#REF!)</f>
        <v>#REF!</v>
      </c>
      <c r="V45" s="119" t="e">
        <f>SUM(#REF!)</f>
        <v>#REF!</v>
      </c>
      <c r="W45" s="115">
        <f>'תקציב מפורט לספר '!W469</f>
        <v>338100000</v>
      </c>
      <c r="X45" s="115">
        <f>'תקציב מפורט לספר '!X469</f>
        <v>326760000</v>
      </c>
      <c r="Y45" s="115">
        <f>'תקציב מפורט לספר '!Y469</f>
        <v>11340000</v>
      </c>
      <c r="Z45" s="115">
        <f>'תקציב מפורט לספר '!Z469</f>
        <v>0</v>
      </c>
      <c r="AA45" s="115">
        <f>'תקציב מפורט לספר '!AA469</f>
        <v>0</v>
      </c>
      <c r="AB45" s="115">
        <f>'תקציב מפורט לספר '!AB469</f>
        <v>0</v>
      </c>
      <c r="AC45" s="115">
        <f>'תקציב מפורט לספר '!AC469</f>
        <v>54800000</v>
      </c>
      <c r="AD45" s="115">
        <f>'תקציב מפורט לספר '!AD469</f>
        <v>46355000</v>
      </c>
      <c r="AE45" s="115">
        <f>'תקציב מפורט לספר '!AE469</f>
        <v>8445000</v>
      </c>
      <c r="AF45" s="115">
        <f>'תקציב מפורט לספר '!AF469</f>
        <v>0</v>
      </c>
      <c r="AG45" s="115">
        <f>'תקציב מפורט לספר '!AG469</f>
        <v>0</v>
      </c>
      <c r="AH45" s="119">
        <f>'תקציב מפורט לספר '!AH469</f>
        <v>0</v>
      </c>
      <c r="AI45" s="115" t="e">
        <f>SUM(#REF!)</f>
        <v>#REF!</v>
      </c>
      <c r="AJ45" s="120" t="e">
        <f>SUM(#REF!)</f>
        <v>#REF!</v>
      </c>
      <c r="AK45" s="120" t="e">
        <f>SUM(#REF!)</f>
        <v>#REF!</v>
      </c>
      <c r="AL45" s="120" t="e">
        <f>SUM(#REF!)</f>
        <v>#REF!</v>
      </c>
      <c r="AM45" s="117" t="e">
        <f>SUM(#REF!)</f>
        <v>#REF!</v>
      </c>
      <c r="AN45" s="119" t="e">
        <f>SUM(#REF!)</f>
        <v>#REF!</v>
      </c>
      <c r="AO45" s="39" t="e">
        <f>SUM(#REF!)</f>
        <v>#REF!</v>
      </c>
      <c r="AP45" s="10" t="e">
        <f>SUM(#REF!)</f>
        <v>#REF!</v>
      </c>
      <c r="AQ45" s="10" t="e">
        <f>SUM(#REF!)</f>
        <v>#REF!</v>
      </c>
      <c r="AR45" s="10" t="e">
        <f>SUM(#REF!)</f>
        <v>#REF!</v>
      </c>
      <c r="AS45" s="10" t="e">
        <f>SUM(#REF!)</f>
        <v>#REF!</v>
      </c>
      <c r="AT45" s="10" t="e">
        <f>SUM(#REF!)</f>
        <v>#REF!</v>
      </c>
      <c r="AU45" s="10" t="e">
        <f>SUM(#REF!)</f>
        <v>#REF!</v>
      </c>
      <c r="AV45" s="10" t="e">
        <f>SUM(#REF!)</f>
        <v>#REF!</v>
      </c>
      <c r="AW45" s="10" t="e">
        <f t="shared" si="7"/>
        <v>#REF!</v>
      </c>
      <c r="AY45" s="11" t="e">
        <f t="shared" si="0"/>
        <v>#REF!</v>
      </c>
    </row>
    <row r="46" spans="5:56" ht="60" customHeight="1" x14ac:dyDescent="0.2">
      <c r="E46" s="149"/>
      <c r="F46" s="127" t="s">
        <v>244</v>
      </c>
      <c r="G46" s="118" t="e">
        <f>SUM(#REF!)</f>
        <v>#REF!</v>
      </c>
      <c r="H46" s="116" t="e">
        <f>SUM(#REF!)</f>
        <v>#REF!</v>
      </c>
      <c r="I46" s="115" t="e">
        <f>SUM(#REF!)</f>
        <v>#REF!</v>
      </c>
      <c r="J46" s="117" t="e">
        <f>SUM(#REF!)</f>
        <v>#REF!</v>
      </c>
      <c r="K46" s="115" t="e">
        <f>SUM(#REF!)</f>
        <v>#REF!</v>
      </c>
      <c r="L46" s="117" t="e">
        <f>SUM(#REF!)</f>
        <v>#REF!</v>
      </c>
      <c r="M46" s="115" t="e">
        <f>SUM(#REF!)</f>
        <v>#REF!</v>
      </c>
      <c r="N46" s="117" t="e">
        <f>SUM(#REF!)</f>
        <v>#REF!</v>
      </c>
      <c r="O46" s="115" t="e">
        <f>SUM(#REF!)</f>
        <v>#REF!</v>
      </c>
      <c r="P46" s="117" t="e">
        <f>SUM(#REF!)</f>
        <v>#REF!</v>
      </c>
      <c r="Q46" s="115" t="e">
        <f>SUM(#REF!)</f>
        <v>#REF!</v>
      </c>
      <c r="R46" s="117" t="e">
        <f>SUM(#REF!)</f>
        <v>#REF!</v>
      </c>
      <c r="S46" s="118" t="e">
        <f>SUM(#REF!)</f>
        <v>#REF!</v>
      </c>
      <c r="T46" s="120" t="e">
        <f>SUM(#REF!)</f>
        <v>#REF!</v>
      </c>
      <c r="U46" s="116" t="e">
        <f>SUM(#REF!)</f>
        <v>#REF!</v>
      </c>
      <c r="V46" s="119" t="e">
        <f>SUM(#REF!)</f>
        <v>#REF!</v>
      </c>
      <c r="W46" s="115">
        <f>'תקציב מפורט לספר '!W475</f>
        <v>25500000</v>
      </c>
      <c r="X46" s="115">
        <f>'תקציב מפורט לספר '!X475</f>
        <v>25500000</v>
      </c>
      <c r="Y46" s="115">
        <f>'תקציב מפורט לספר '!Y475</f>
        <v>0</v>
      </c>
      <c r="Z46" s="115">
        <f>'תקציב מפורט לספר '!Z475</f>
        <v>0</v>
      </c>
      <c r="AA46" s="115">
        <f>'תקציב מפורט לספר '!AA475</f>
        <v>0</v>
      </c>
      <c r="AB46" s="115">
        <f>'תקציב מפורט לספר '!AB475</f>
        <v>0</v>
      </c>
      <c r="AC46" s="115">
        <f>'תקציב מפורט לספר '!AC475</f>
        <v>5000000</v>
      </c>
      <c r="AD46" s="115">
        <f>'תקציב מפורט לספר '!AD475</f>
        <v>5000000</v>
      </c>
      <c r="AE46" s="115">
        <f>'תקציב מפורט לספר '!AE475</f>
        <v>0</v>
      </c>
      <c r="AF46" s="115">
        <f>'תקציב מפורט לספר '!AF475</f>
        <v>0</v>
      </c>
      <c r="AG46" s="115">
        <f>'תקציב מפורט לספר '!AG475</f>
        <v>0</v>
      </c>
      <c r="AH46" s="119">
        <f>'תקציב מפורט לספר '!AH475</f>
        <v>0</v>
      </c>
      <c r="AI46" s="115" t="e">
        <f>SUM(#REF!)</f>
        <v>#REF!</v>
      </c>
      <c r="AJ46" s="120" t="e">
        <f>SUM(#REF!)</f>
        <v>#REF!</v>
      </c>
      <c r="AK46" s="120" t="e">
        <f>SUM(#REF!)</f>
        <v>#REF!</v>
      </c>
      <c r="AL46" s="120" t="e">
        <f>SUM(#REF!)</f>
        <v>#REF!</v>
      </c>
      <c r="AM46" s="117" t="e">
        <f>SUM(#REF!)</f>
        <v>#REF!</v>
      </c>
      <c r="AN46" s="119" t="e">
        <f>SUM(#REF!)</f>
        <v>#REF!</v>
      </c>
      <c r="AO46" s="47" t="e">
        <f>SUM(#REF!)</f>
        <v>#REF!</v>
      </c>
      <c r="AP46" s="10" t="e">
        <f>SUM(#REF!)</f>
        <v>#REF!</v>
      </c>
      <c r="AQ46" s="10" t="e">
        <f>SUM(#REF!)</f>
        <v>#REF!</v>
      </c>
      <c r="AR46" s="48" t="e">
        <f>SUM(#REF!)</f>
        <v>#REF!</v>
      </c>
      <c r="AS46" s="47" t="e">
        <f>SUM(#REF!)</f>
        <v>#REF!</v>
      </c>
      <c r="AT46" s="10" t="e">
        <f>SUM(#REF!)</f>
        <v>#REF!</v>
      </c>
      <c r="AU46" s="10" t="e">
        <f>SUM(#REF!)</f>
        <v>#REF!</v>
      </c>
      <c r="AV46" s="10" t="e">
        <f>SUM(#REF!)</f>
        <v>#REF!</v>
      </c>
      <c r="AW46" s="48" t="e">
        <f t="shared" si="7"/>
        <v>#REF!</v>
      </c>
      <c r="AX46" s="52"/>
      <c r="AY46" s="11" t="e">
        <f t="shared" si="0"/>
        <v>#REF!</v>
      </c>
    </row>
    <row r="47" spans="5:56" ht="60" customHeight="1" x14ac:dyDescent="0.2">
      <c r="E47" s="149"/>
      <c r="F47" s="127" t="s">
        <v>246</v>
      </c>
      <c r="G47" s="118" t="e">
        <f>SUM(#REF!)</f>
        <v>#REF!</v>
      </c>
      <c r="H47" s="116" t="e">
        <f>SUM(#REF!)</f>
        <v>#REF!</v>
      </c>
      <c r="I47" s="115" t="e">
        <f>SUM(#REF!)</f>
        <v>#REF!</v>
      </c>
      <c r="J47" s="117" t="e">
        <f>SUM(#REF!)</f>
        <v>#REF!</v>
      </c>
      <c r="K47" s="115" t="e">
        <f>SUM(#REF!)</f>
        <v>#REF!</v>
      </c>
      <c r="L47" s="117" t="e">
        <f>SUM(#REF!)</f>
        <v>#REF!</v>
      </c>
      <c r="M47" s="115" t="e">
        <f>SUM(#REF!)</f>
        <v>#REF!</v>
      </c>
      <c r="N47" s="117" t="e">
        <f>SUM(#REF!)</f>
        <v>#REF!</v>
      </c>
      <c r="O47" s="115" t="e">
        <f>SUM(#REF!)</f>
        <v>#REF!</v>
      </c>
      <c r="P47" s="117" t="e">
        <f>SUM(#REF!)</f>
        <v>#REF!</v>
      </c>
      <c r="Q47" s="115" t="e">
        <f>SUM(#REF!)</f>
        <v>#REF!</v>
      </c>
      <c r="R47" s="117" t="e">
        <f>SUM(#REF!)</f>
        <v>#REF!</v>
      </c>
      <c r="S47" s="118" t="e">
        <f>SUM(#REF!)</f>
        <v>#REF!</v>
      </c>
      <c r="T47" s="120" t="e">
        <f>SUM(#REF!)</f>
        <v>#REF!</v>
      </c>
      <c r="U47" s="116" t="e">
        <f>SUM(#REF!)</f>
        <v>#REF!</v>
      </c>
      <c r="V47" s="119" t="e">
        <f>SUM(#REF!)</f>
        <v>#REF!</v>
      </c>
      <c r="W47" s="115">
        <f>'תקציב מפורט לספר '!W517</f>
        <v>136261000</v>
      </c>
      <c r="X47" s="115">
        <f>'תקציב מפורט לספר '!X517</f>
        <v>106818000</v>
      </c>
      <c r="Y47" s="115">
        <f>'תקציב מפורט לספר '!Y517</f>
        <v>0</v>
      </c>
      <c r="Z47" s="115">
        <f>'תקציב מפורט לספר '!Z517</f>
        <v>0</v>
      </c>
      <c r="AA47" s="115">
        <f>'תקציב מפורט לספר '!AA517</f>
        <v>4000000</v>
      </c>
      <c r="AB47" s="115">
        <f>'תקציב מפורט לספר '!AB517</f>
        <v>25443000</v>
      </c>
      <c r="AC47" s="115">
        <f>'תקציב מפורט לספר '!AC517</f>
        <v>68600000</v>
      </c>
      <c r="AD47" s="115">
        <f>'תקציב מפורט לספר '!AD517</f>
        <v>26020000</v>
      </c>
      <c r="AE47" s="115">
        <f>'תקציב מפורט לספר '!AE517</f>
        <v>0</v>
      </c>
      <c r="AF47" s="115">
        <f>'תקציב מפורט לספר '!AF517</f>
        <v>0</v>
      </c>
      <c r="AG47" s="115">
        <f>'תקציב מפורט לספר '!AG517</f>
        <v>2500000</v>
      </c>
      <c r="AH47" s="119">
        <f>'תקציב מפורט לספר '!AH517</f>
        <v>40080000</v>
      </c>
      <c r="AI47" s="115" t="e">
        <f>SUM(#REF!)</f>
        <v>#REF!</v>
      </c>
      <c r="AJ47" s="120" t="e">
        <f>SUM(#REF!)</f>
        <v>#REF!</v>
      </c>
      <c r="AK47" s="120" t="e">
        <f>SUM(#REF!)</f>
        <v>#REF!</v>
      </c>
      <c r="AL47" s="120" t="e">
        <f>SUM(#REF!)</f>
        <v>#REF!</v>
      </c>
      <c r="AM47" s="117" t="e">
        <f>SUM(#REF!)</f>
        <v>#REF!</v>
      </c>
      <c r="AN47" s="119" t="e">
        <f>SUM(#REF!)</f>
        <v>#REF!</v>
      </c>
      <c r="AO47" s="39" t="e">
        <f>SUM(#REF!)</f>
        <v>#REF!</v>
      </c>
      <c r="AP47" s="10" t="e">
        <f>SUM(#REF!)</f>
        <v>#REF!</v>
      </c>
      <c r="AQ47" s="10" t="e">
        <f>SUM(#REF!)</f>
        <v>#REF!</v>
      </c>
      <c r="AR47" s="10" t="e">
        <f>SUM(#REF!)</f>
        <v>#REF!</v>
      </c>
      <c r="AS47" s="10" t="e">
        <f>SUM(#REF!)</f>
        <v>#REF!</v>
      </c>
      <c r="AT47" s="10" t="e">
        <f>SUM(#REF!)</f>
        <v>#REF!</v>
      </c>
      <c r="AU47" s="10" t="e">
        <f>SUM(#REF!)</f>
        <v>#REF!</v>
      </c>
      <c r="AV47" s="10" t="e">
        <f>SUM(#REF!)</f>
        <v>#REF!</v>
      </c>
      <c r="AW47" s="10" t="e">
        <f t="shared" si="7"/>
        <v>#REF!</v>
      </c>
      <c r="AY47" s="11" t="e">
        <f t="shared" si="0"/>
        <v>#REF!</v>
      </c>
      <c r="BC47" s="61"/>
    </row>
    <row r="48" spans="5:56" ht="60" customHeight="1" x14ac:dyDescent="0.2">
      <c r="E48" s="150">
        <v>8</v>
      </c>
      <c r="F48" s="127" t="s">
        <v>247</v>
      </c>
      <c r="G48" s="118" t="e">
        <f t="shared" ref="G48:W48" si="11">+G47+G46+G45</f>
        <v>#REF!</v>
      </c>
      <c r="H48" s="116" t="e">
        <f t="shared" si="11"/>
        <v>#REF!</v>
      </c>
      <c r="I48" s="115" t="e">
        <f t="shared" si="11"/>
        <v>#REF!</v>
      </c>
      <c r="J48" s="117" t="e">
        <f t="shared" si="11"/>
        <v>#REF!</v>
      </c>
      <c r="K48" s="115" t="e">
        <f t="shared" si="11"/>
        <v>#REF!</v>
      </c>
      <c r="L48" s="117" t="e">
        <f t="shared" si="11"/>
        <v>#REF!</v>
      </c>
      <c r="M48" s="115" t="e">
        <f t="shared" si="11"/>
        <v>#REF!</v>
      </c>
      <c r="N48" s="117" t="e">
        <f t="shared" si="11"/>
        <v>#REF!</v>
      </c>
      <c r="O48" s="115" t="e">
        <f t="shared" si="11"/>
        <v>#REF!</v>
      </c>
      <c r="P48" s="117" t="e">
        <f t="shared" si="11"/>
        <v>#REF!</v>
      </c>
      <c r="Q48" s="115" t="e">
        <f t="shared" si="11"/>
        <v>#REF!</v>
      </c>
      <c r="R48" s="117" t="e">
        <f t="shared" si="11"/>
        <v>#REF!</v>
      </c>
      <c r="S48" s="118" t="e">
        <f t="shared" si="11"/>
        <v>#REF!</v>
      </c>
      <c r="T48" s="120" t="e">
        <f t="shared" si="11"/>
        <v>#REF!</v>
      </c>
      <c r="U48" s="116" t="e">
        <f t="shared" si="11"/>
        <v>#REF!</v>
      </c>
      <c r="V48" s="119" t="e">
        <f t="shared" si="11"/>
        <v>#REF!</v>
      </c>
      <c r="W48" s="115">
        <f t="shared" si="11"/>
        <v>499861000</v>
      </c>
      <c r="X48" s="115">
        <f t="shared" ref="X48:AH48" si="12">+X47+X46+X45</f>
        <v>459078000</v>
      </c>
      <c r="Y48" s="115">
        <f t="shared" si="12"/>
        <v>11340000</v>
      </c>
      <c r="Z48" s="115">
        <f t="shared" si="12"/>
        <v>0</v>
      </c>
      <c r="AA48" s="115">
        <f t="shared" si="12"/>
        <v>4000000</v>
      </c>
      <c r="AB48" s="115">
        <f t="shared" si="12"/>
        <v>25443000</v>
      </c>
      <c r="AC48" s="115">
        <f t="shared" si="12"/>
        <v>128400000</v>
      </c>
      <c r="AD48" s="115">
        <f t="shared" si="12"/>
        <v>77375000</v>
      </c>
      <c r="AE48" s="115">
        <f t="shared" si="12"/>
        <v>8445000</v>
      </c>
      <c r="AF48" s="115">
        <f t="shared" si="12"/>
        <v>0</v>
      </c>
      <c r="AG48" s="115">
        <f t="shared" si="12"/>
        <v>2500000</v>
      </c>
      <c r="AH48" s="119">
        <f t="shared" si="12"/>
        <v>40080000</v>
      </c>
      <c r="AI48" s="115" t="e">
        <f t="shared" ref="AI48:AN48" si="13">+AI47+AI46+AI45</f>
        <v>#REF!</v>
      </c>
      <c r="AJ48" s="120" t="e">
        <f t="shared" si="13"/>
        <v>#REF!</v>
      </c>
      <c r="AK48" s="120" t="e">
        <f t="shared" si="13"/>
        <v>#REF!</v>
      </c>
      <c r="AL48" s="120" t="e">
        <f t="shared" si="13"/>
        <v>#REF!</v>
      </c>
      <c r="AM48" s="117" t="e">
        <f t="shared" si="13"/>
        <v>#REF!</v>
      </c>
      <c r="AN48" s="119" t="e">
        <f t="shared" si="13"/>
        <v>#REF!</v>
      </c>
      <c r="AO48" s="39" t="e">
        <f>#REF!+AO47+AO46+AO45</f>
        <v>#REF!</v>
      </c>
      <c r="AP48" s="10" t="e">
        <f>#REF!+AP47+AP46+AP45</f>
        <v>#REF!</v>
      </c>
      <c r="AQ48" s="10" t="e">
        <f>#REF!+AQ47+AQ46+AQ45</f>
        <v>#REF!</v>
      </c>
      <c r="AR48" s="10" t="e">
        <f>#REF!+AR47+AR46+AR45</f>
        <v>#REF!</v>
      </c>
      <c r="AS48" s="10" t="e">
        <f>#REF!+AS47+AS46+AS45</f>
        <v>#REF!</v>
      </c>
      <c r="AT48" s="10" t="e">
        <f>#REF!+AT47+AT46+AT45</f>
        <v>#REF!</v>
      </c>
      <c r="AU48" s="10" t="e">
        <f>#REF!+AU47+AU46+AU45</f>
        <v>#REF!</v>
      </c>
      <c r="AV48" s="10" t="e">
        <f>#REF!+AV47+AV46+AV45</f>
        <v>#REF!</v>
      </c>
      <c r="AW48" s="10" t="e">
        <f t="shared" si="7"/>
        <v>#REF!</v>
      </c>
      <c r="AY48" s="11" t="e">
        <f t="shared" si="0"/>
        <v>#REF!</v>
      </c>
    </row>
    <row r="49" spans="5:51" ht="60" customHeight="1" x14ac:dyDescent="0.2">
      <c r="E49" s="150">
        <v>9</v>
      </c>
      <c r="F49" s="127" t="s">
        <v>256</v>
      </c>
      <c r="G49" s="118" t="e">
        <f>#REF!+#REF!+#REF!</f>
        <v>#REF!</v>
      </c>
      <c r="H49" s="116" t="e">
        <f>#REF!+#REF!+#REF!</f>
        <v>#REF!</v>
      </c>
      <c r="I49" s="115" t="e">
        <f>#REF!+#REF!+#REF!</f>
        <v>#REF!</v>
      </c>
      <c r="J49" s="117" t="e">
        <f>#REF!+#REF!+#REF!</f>
        <v>#REF!</v>
      </c>
      <c r="K49" s="115" t="e">
        <f>#REF!+#REF!+#REF!</f>
        <v>#REF!</v>
      </c>
      <c r="L49" s="117" t="e">
        <f>#REF!+#REF!+#REF!</f>
        <v>#REF!</v>
      </c>
      <c r="M49" s="115" t="e">
        <f>#REF!+#REF!+#REF!</f>
        <v>#REF!</v>
      </c>
      <c r="N49" s="117" t="e">
        <f>#REF!+#REF!+#REF!</f>
        <v>#REF!</v>
      </c>
      <c r="O49" s="115" t="e">
        <f>#REF!+#REF!+#REF!</f>
        <v>#REF!</v>
      </c>
      <c r="P49" s="117" t="e">
        <f>#REF!+#REF!+#REF!</f>
        <v>#REF!</v>
      </c>
      <c r="Q49" s="115" t="e">
        <f>#REF!+#REF!+#REF!</f>
        <v>#REF!</v>
      </c>
      <c r="R49" s="117" t="e">
        <f>#REF!+#REF!+#REF!</f>
        <v>#REF!</v>
      </c>
      <c r="S49" s="118" t="e">
        <f>#REF!+#REF!+#REF!</f>
        <v>#REF!</v>
      </c>
      <c r="T49" s="120" t="e">
        <f>#REF!+#REF!+#REF!</f>
        <v>#REF!</v>
      </c>
      <c r="U49" s="116" t="e">
        <f>#REF!+#REF!+#REF!</f>
        <v>#REF!</v>
      </c>
      <c r="V49" s="119" t="e">
        <f>#REF!</f>
        <v>#REF!</v>
      </c>
      <c r="W49" s="115">
        <f>'תקציב מפורט לספר '!W528</f>
        <v>17200000</v>
      </c>
      <c r="X49" s="115">
        <f>'תקציב מפורט לספר '!X528</f>
        <v>0</v>
      </c>
      <c r="Y49" s="115">
        <f>'תקציב מפורט לספר '!Y528</f>
        <v>700000</v>
      </c>
      <c r="Z49" s="115">
        <f>'תקציב מפורט לספר '!Z528</f>
        <v>10000000</v>
      </c>
      <c r="AA49" s="115">
        <f>'תקציב מפורט לספר '!AA528</f>
        <v>6500000</v>
      </c>
      <c r="AB49" s="115">
        <f>'תקציב מפורט לספר '!AB528</f>
        <v>0</v>
      </c>
      <c r="AC49" s="115">
        <f>'תקציב מפורט לספר '!AC528</f>
        <v>9200000</v>
      </c>
      <c r="AD49" s="115">
        <f>'תקציב מפורט לספר '!AD528</f>
        <v>0</v>
      </c>
      <c r="AE49" s="115">
        <f>'תקציב מפורט לספר '!AE528</f>
        <v>0</v>
      </c>
      <c r="AF49" s="115">
        <f>'תקציב מפורט לספר '!AF528</f>
        <v>0</v>
      </c>
      <c r="AG49" s="115">
        <f>'תקציב מפורט לספר '!AG528</f>
        <v>9200000</v>
      </c>
      <c r="AH49" s="119">
        <f>'תקציב מפורט לספר '!AH528</f>
        <v>0</v>
      </c>
      <c r="AI49" s="115" t="e">
        <f>#REF!</f>
        <v>#REF!</v>
      </c>
      <c r="AJ49" s="120" t="e">
        <f>#REF!</f>
        <v>#REF!</v>
      </c>
      <c r="AK49" s="120" t="e">
        <f>#REF!</f>
        <v>#REF!</v>
      </c>
      <c r="AL49" s="120" t="e">
        <f>#REF!</f>
        <v>#REF!</v>
      </c>
      <c r="AM49" s="117" t="e">
        <f>#REF!</f>
        <v>#REF!</v>
      </c>
      <c r="AN49" s="119" t="e">
        <f>#REF!+#REF!+#REF!</f>
        <v>#REF!</v>
      </c>
      <c r="AO49" s="39" t="e">
        <f>#REF!+#REF!</f>
        <v>#REF!</v>
      </c>
      <c r="AP49" s="10" t="e">
        <f>#REF!+#REF!</f>
        <v>#REF!</v>
      </c>
      <c r="AQ49" s="10" t="e">
        <f>#REF!+#REF!</f>
        <v>#REF!</v>
      </c>
      <c r="AR49" s="10" t="e">
        <f>#REF!+#REF!</f>
        <v>#REF!</v>
      </c>
      <c r="AS49" s="10" t="e">
        <f>#REF!+#REF!</f>
        <v>#REF!</v>
      </c>
      <c r="AT49" s="10" t="e">
        <f>#REF!+#REF!</f>
        <v>#REF!</v>
      </c>
      <c r="AU49" s="10" t="e">
        <f>#REF!+#REF!</f>
        <v>#REF!</v>
      </c>
      <c r="AV49" s="10" t="e">
        <f>#REF!+#REF!</f>
        <v>#REF!</v>
      </c>
      <c r="AW49" s="10" t="e">
        <f t="shared" si="7"/>
        <v>#REF!</v>
      </c>
      <c r="AY49" s="11" t="e">
        <f t="shared" si="0"/>
        <v>#REF!</v>
      </c>
    </row>
    <row r="50" spans="5:51" ht="60" customHeight="1" thickBot="1" x14ac:dyDescent="0.25">
      <c r="E50" s="152"/>
      <c r="F50" s="153" t="s">
        <v>257</v>
      </c>
      <c r="G50" s="144" t="e">
        <f t="shared" ref="G50:W50" si="14">G49+G48+G44+G43+G42+G38+G21+G11+G4</f>
        <v>#REF!</v>
      </c>
      <c r="H50" s="142" t="e">
        <f t="shared" si="14"/>
        <v>#REF!</v>
      </c>
      <c r="I50" s="141" t="e">
        <f t="shared" si="14"/>
        <v>#REF!</v>
      </c>
      <c r="J50" s="143" t="e">
        <f t="shared" si="14"/>
        <v>#REF!</v>
      </c>
      <c r="K50" s="141" t="e">
        <f t="shared" si="14"/>
        <v>#REF!</v>
      </c>
      <c r="L50" s="143" t="e">
        <f t="shared" si="14"/>
        <v>#REF!</v>
      </c>
      <c r="M50" s="141" t="e">
        <f t="shared" si="14"/>
        <v>#REF!</v>
      </c>
      <c r="N50" s="143" t="e">
        <f t="shared" si="14"/>
        <v>#REF!</v>
      </c>
      <c r="O50" s="141" t="e">
        <f t="shared" si="14"/>
        <v>#REF!</v>
      </c>
      <c r="P50" s="143" t="e">
        <f t="shared" si="14"/>
        <v>#REF!</v>
      </c>
      <c r="Q50" s="141" t="e">
        <f t="shared" si="14"/>
        <v>#REF!</v>
      </c>
      <c r="R50" s="143" t="e">
        <f t="shared" si="14"/>
        <v>#REF!</v>
      </c>
      <c r="S50" s="144" t="e">
        <f t="shared" si="14"/>
        <v>#REF!</v>
      </c>
      <c r="T50" s="145" t="e">
        <f t="shared" si="14"/>
        <v>#REF!</v>
      </c>
      <c r="U50" s="142" t="e">
        <f t="shared" si="14"/>
        <v>#REF!</v>
      </c>
      <c r="V50" s="146" t="e">
        <f t="shared" si="14"/>
        <v>#REF!</v>
      </c>
      <c r="W50" s="141">
        <f t="shared" si="14"/>
        <v>931740000</v>
      </c>
      <c r="X50" s="141">
        <f t="shared" ref="X50:AH50" si="15">X49+X48+X44+X43+X42+X38+X21+X11+X4</f>
        <v>554409000</v>
      </c>
      <c r="Y50" s="141">
        <f t="shared" si="15"/>
        <v>95320000</v>
      </c>
      <c r="Z50" s="141">
        <f t="shared" si="15"/>
        <v>78005000</v>
      </c>
      <c r="AA50" s="141">
        <f t="shared" si="15"/>
        <v>148131500</v>
      </c>
      <c r="AB50" s="141">
        <f t="shared" si="15"/>
        <v>55874500</v>
      </c>
      <c r="AC50" s="141">
        <f t="shared" si="15"/>
        <v>570081000</v>
      </c>
      <c r="AD50" s="141">
        <f t="shared" si="15"/>
        <v>88785000</v>
      </c>
      <c r="AE50" s="141">
        <f t="shared" si="15"/>
        <v>140923000</v>
      </c>
      <c r="AF50" s="141">
        <f t="shared" si="15"/>
        <v>159472000</v>
      </c>
      <c r="AG50" s="141">
        <f t="shared" si="15"/>
        <v>102156500</v>
      </c>
      <c r="AH50" s="146">
        <f t="shared" si="15"/>
        <v>78744500</v>
      </c>
      <c r="AI50" s="121" t="e">
        <f t="shared" ref="AI50:AV50" si="16">AI49+AI48+AI44+AI43+AI42+AI38+AI21+AI11+AI4</f>
        <v>#REF!</v>
      </c>
      <c r="AJ50" s="123" t="e">
        <f t="shared" si="16"/>
        <v>#REF!</v>
      </c>
      <c r="AK50" s="123" t="e">
        <f t="shared" si="16"/>
        <v>#REF!</v>
      </c>
      <c r="AL50" s="123" t="e">
        <f t="shared" si="16"/>
        <v>#REF!</v>
      </c>
      <c r="AM50" s="122" t="e">
        <f t="shared" si="16"/>
        <v>#REF!</v>
      </c>
      <c r="AN50" s="124" t="e">
        <f t="shared" si="16"/>
        <v>#REF!</v>
      </c>
      <c r="AO50" s="39" t="e">
        <f t="shared" si="16"/>
        <v>#REF!</v>
      </c>
      <c r="AP50" s="10" t="e">
        <f t="shared" si="16"/>
        <v>#REF!</v>
      </c>
      <c r="AQ50" s="10" t="e">
        <f t="shared" si="16"/>
        <v>#REF!</v>
      </c>
      <c r="AR50" s="10" t="e">
        <f t="shared" si="16"/>
        <v>#REF!</v>
      </c>
      <c r="AS50" s="10" t="e">
        <f t="shared" si="16"/>
        <v>#REF!</v>
      </c>
      <c r="AT50" s="10" t="e">
        <f t="shared" si="16"/>
        <v>#REF!</v>
      </c>
      <c r="AU50" s="10" t="e">
        <f t="shared" si="16"/>
        <v>#REF!</v>
      </c>
      <c r="AV50" s="10" t="e">
        <f t="shared" si="16"/>
        <v>#REF!</v>
      </c>
      <c r="AW50" s="10" t="e">
        <f t="shared" si="7"/>
        <v>#REF!</v>
      </c>
      <c r="AY50" s="11" t="e">
        <f t="shared" si="0"/>
        <v>#REF!</v>
      </c>
    </row>
    <row r="51" spans="5:51" ht="26.25" x14ac:dyDescent="0.2">
      <c r="E51" s="17"/>
      <c r="F51" s="72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</row>
    <row r="52" spans="5:51" s="64" customFormat="1" x14ac:dyDescent="0.2">
      <c r="E52" s="17"/>
      <c r="F52" s="63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19"/>
      <c r="AJ52" s="19"/>
      <c r="AK52" s="19"/>
      <c r="AL52" s="19"/>
      <c r="AM52" s="19"/>
      <c r="AN52" s="19"/>
      <c r="AO52" s="19"/>
      <c r="AP52" s="30"/>
      <c r="AQ52" s="19"/>
      <c r="AR52" s="19"/>
      <c r="AS52" s="19"/>
      <c r="AT52" s="19"/>
      <c r="AU52" s="19"/>
      <c r="AV52" s="19"/>
    </row>
    <row r="53" spans="5:51" s="64" customFormat="1" ht="30.75" x14ac:dyDescent="0.2">
      <c r="E53" s="17"/>
      <c r="F53" s="63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20"/>
      <c r="AQ53" s="19"/>
      <c r="AR53" s="19"/>
      <c r="AS53" s="19"/>
      <c r="AT53" s="19"/>
      <c r="AU53" s="19"/>
      <c r="AV53" s="19"/>
    </row>
    <row r="54" spans="5:51" s="64" customFormat="1" x14ac:dyDescent="0.2">
      <c r="E54" s="65"/>
      <c r="F54" s="63"/>
      <c r="G54" s="66"/>
      <c r="H54" s="66"/>
      <c r="I54" s="66"/>
      <c r="J54" s="66"/>
      <c r="K54" s="67"/>
      <c r="L54" s="67"/>
      <c r="M54" s="67"/>
      <c r="N54" s="67"/>
      <c r="O54" s="67"/>
      <c r="P54" s="67"/>
      <c r="Q54" s="67"/>
      <c r="R54" s="67"/>
      <c r="S54" s="66"/>
      <c r="T54" s="66"/>
      <c r="U54" s="67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66"/>
      <c r="AJ54" s="66"/>
      <c r="AK54" s="67"/>
      <c r="AL54" s="66"/>
      <c r="AM54" s="67"/>
      <c r="AN54" s="19"/>
      <c r="AO54" s="19"/>
      <c r="AP54" s="66"/>
      <c r="AQ54" s="66"/>
      <c r="AR54" s="66"/>
      <c r="AS54" s="66"/>
      <c r="AT54" s="66"/>
      <c r="AU54" s="66"/>
      <c r="AV54" s="66"/>
    </row>
    <row r="55" spans="5:51" s="64" customFormat="1" x14ac:dyDescent="0.2">
      <c r="E55" s="65"/>
      <c r="F55" s="63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7"/>
      <c r="AE55" s="66"/>
      <c r="AF55" s="66"/>
      <c r="AG55" s="66"/>
      <c r="AH55" s="19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</row>
    <row r="56" spans="5:51" s="64" customFormat="1" x14ac:dyDescent="0.2">
      <c r="E56" s="65"/>
      <c r="F56" s="63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66"/>
      <c r="T56" s="66"/>
      <c r="U56" s="66"/>
      <c r="V56" s="66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6"/>
      <c r="AH56" s="66"/>
      <c r="AI56" s="66"/>
      <c r="AJ56" s="66"/>
      <c r="AK56" s="66"/>
      <c r="AL56" s="66"/>
      <c r="AM56" s="66"/>
      <c r="AN56" s="66"/>
      <c r="AO56" s="66"/>
      <c r="AP56" s="66"/>
      <c r="AQ56" s="66"/>
      <c r="AR56" s="66"/>
      <c r="AS56" s="66"/>
      <c r="AT56" s="66"/>
      <c r="AU56" s="66"/>
      <c r="AV56" s="66"/>
    </row>
    <row r="57" spans="5:51" s="64" customFormat="1" x14ac:dyDescent="0.2">
      <c r="E57" s="68"/>
      <c r="F57" s="63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</row>
    <row r="58" spans="5:51" s="64" customFormat="1" x14ac:dyDescent="0.35">
      <c r="E58" s="69"/>
      <c r="F58" s="63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70"/>
      <c r="AT58" s="70"/>
      <c r="AU58" s="70"/>
      <c r="AV58" s="70"/>
    </row>
    <row r="59" spans="5:51" s="64" customFormat="1" x14ac:dyDescent="0.35">
      <c r="E59" s="69"/>
      <c r="F59" s="63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70"/>
      <c r="AT59" s="70"/>
      <c r="AU59" s="70"/>
      <c r="AV59" s="70"/>
    </row>
    <row r="60" spans="5:51" s="64" customFormat="1" x14ac:dyDescent="0.35">
      <c r="E60" s="69"/>
      <c r="F60" s="63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</row>
    <row r="61" spans="5:51" s="64" customFormat="1" x14ac:dyDescent="0.35">
      <c r="E61" s="69"/>
      <c r="F61" s="63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70"/>
      <c r="AT61" s="70"/>
      <c r="AU61" s="70"/>
      <c r="AV61" s="70"/>
    </row>
    <row r="62" spans="5:51" s="64" customFormat="1" x14ac:dyDescent="0.35">
      <c r="E62" s="69"/>
      <c r="F62" s="63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70"/>
      <c r="AE62" s="70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70"/>
      <c r="AT62" s="70"/>
      <c r="AU62" s="70"/>
      <c r="AV62" s="70"/>
    </row>
    <row r="63" spans="5:51" s="64" customFormat="1" x14ac:dyDescent="0.35">
      <c r="E63" s="69"/>
      <c r="F63" s="63"/>
      <c r="G63" s="70"/>
      <c r="H63" s="70"/>
      <c r="I63" s="70"/>
      <c r="J63" s="70"/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70"/>
      <c r="AE63" s="70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70"/>
      <c r="AT63" s="70"/>
      <c r="AU63" s="70"/>
      <c r="AV63" s="70"/>
    </row>
    <row r="64" spans="5:51" s="64" customFormat="1" x14ac:dyDescent="0.35">
      <c r="E64" s="69"/>
      <c r="F64" s="63"/>
      <c r="G64" s="70"/>
      <c r="H64" s="70"/>
      <c r="I64" s="70"/>
      <c r="J64" s="70"/>
      <c r="K64" s="70"/>
      <c r="L64" s="70"/>
      <c r="M64" s="70"/>
      <c r="N64" s="70"/>
      <c r="O64" s="70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70"/>
      <c r="AE64" s="70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70"/>
      <c r="AT64" s="70"/>
      <c r="AU64" s="70"/>
      <c r="AV64" s="70"/>
    </row>
    <row r="65" spans="5:48" s="64" customFormat="1" x14ac:dyDescent="0.35">
      <c r="E65" s="69"/>
      <c r="F65" s="63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70"/>
      <c r="AE65" s="70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70"/>
      <c r="AT65" s="70"/>
      <c r="AU65" s="70"/>
      <c r="AV65" s="70"/>
    </row>
    <row r="66" spans="5:48" s="64" customFormat="1" x14ac:dyDescent="0.35">
      <c r="E66" s="69"/>
      <c r="F66" s="63"/>
      <c r="G66" s="70"/>
      <c r="H66" s="70"/>
      <c r="I66" s="70"/>
      <c r="J66" s="70"/>
      <c r="K66" s="70"/>
      <c r="L66" s="70"/>
      <c r="M66" s="70"/>
      <c r="N66" s="70"/>
      <c r="O66" s="70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70"/>
      <c r="AE66" s="70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70"/>
      <c r="AT66" s="70"/>
      <c r="AU66" s="70"/>
      <c r="AV66" s="70"/>
    </row>
    <row r="67" spans="5:48" s="64" customFormat="1" x14ac:dyDescent="0.35">
      <c r="E67" s="69"/>
      <c r="F67" s="63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70"/>
      <c r="AE67" s="70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70"/>
      <c r="AT67" s="70"/>
      <c r="AU67" s="70"/>
      <c r="AV67" s="70"/>
    </row>
    <row r="68" spans="5:48" s="64" customFormat="1" x14ac:dyDescent="0.35">
      <c r="E68" s="69"/>
      <c r="F68" s="63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70"/>
      <c r="AT68" s="70"/>
      <c r="AU68" s="70"/>
      <c r="AV68" s="70"/>
    </row>
    <row r="69" spans="5:48" s="64" customFormat="1" x14ac:dyDescent="0.35">
      <c r="E69" s="69"/>
      <c r="F69" s="63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</row>
    <row r="70" spans="5:48" s="64" customFormat="1" x14ac:dyDescent="0.35">
      <c r="E70" s="69"/>
      <c r="F70" s="63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70"/>
      <c r="AE70" s="70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70"/>
      <c r="AT70" s="70"/>
      <c r="AU70" s="70"/>
      <c r="AV70" s="70"/>
    </row>
    <row r="71" spans="5:48" s="64" customFormat="1" x14ac:dyDescent="0.35">
      <c r="E71" s="69"/>
      <c r="F71" s="63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70"/>
      <c r="AE71" s="70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70"/>
      <c r="AT71" s="70"/>
      <c r="AU71" s="70"/>
      <c r="AV71" s="70"/>
    </row>
    <row r="72" spans="5:48" s="64" customFormat="1" x14ac:dyDescent="0.35">
      <c r="E72" s="69"/>
      <c r="F72" s="63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70"/>
      <c r="AE72" s="70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70"/>
      <c r="AT72" s="70"/>
      <c r="AU72" s="70"/>
      <c r="AV72" s="70"/>
    </row>
    <row r="73" spans="5:48" s="64" customFormat="1" x14ac:dyDescent="0.35">
      <c r="E73" s="69"/>
      <c r="F73" s="63"/>
      <c r="G73" s="70"/>
      <c r="H73" s="70"/>
      <c r="I73" s="70"/>
      <c r="J73" s="70"/>
      <c r="K73" s="70"/>
      <c r="L73" s="70"/>
      <c r="M73" s="70"/>
      <c r="N73" s="70"/>
      <c r="O73" s="70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70"/>
      <c r="AE73" s="70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70"/>
      <c r="AT73" s="70"/>
      <c r="AU73" s="70"/>
      <c r="AV73" s="70"/>
    </row>
    <row r="74" spans="5:48" s="64" customFormat="1" x14ac:dyDescent="0.35">
      <c r="E74" s="69"/>
      <c r="F74" s="63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70"/>
      <c r="AE74" s="70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70"/>
      <c r="AT74" s="70"/>
      <c r="AU74" s="70"/>
      <c r="AV74" s="70"/>
    </row>
    <row r="75" spans="5:48" s="64" customFormat="1" x14ac:dyDescent="0.35">
      <c r="E75" s="69"/>
      <c r="F75" s="63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70"/>
      <c r="AE75" s="70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  <c r="AT75" s="70"/>
      <c r="AU75" s="70"/>
      <c r="AV75" s="70"/>
    </row>
    <row r="76" spans="5:48" s="64" customFormat="1" x14ac:dyDescent="0.2">
      <c r="F76" s="74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AP76" s="71"/>
    </row>
    <row r="77" spans="5:48" s="64" customFormat="1" x14ac:dyDescent="0.2">
      <c r="F77" s="74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AP77" s="71"/>
    </row>
    <row r="78" spans="5:48" s="64" customFormat="1" x14ac:dyDescent="0.2">
      <c r="F78" s="74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AP78" s="71"/>
    </row>
    <row r="79" spans="5:48" s="64" customFormat="1" x14ac:dyDescent="0.2">
      <c r="F79" s="74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AP79" s="71"/>
    </row>
    <row r="80" spans="5:48" s="64" customFormat="1" x14ac:dyDescent="0.2">
      <c r="F80" s="74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AP80" s="71"/>
    </row>
    <row r="81" spans="6:42" s="64" customFormat="1" x14ac:dyDescent="0.2">
      <c r="F81" s="74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AP81" s="71"/>
    </row>
    <row r="82" spans="6:42" s="64" customFormat="1" x14ac:dyDescent="0.2">
      <c r="F82" s="74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AP82" s="71"/>
    </row>
    <row r="83" spans="6:42" s="64" customFormat="1" x14ac:dyDescent="0.2">
      <c r="F83" s="74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AP83" s="71"/>
    </row>
    <row r="84" spans="6:42" s="64" customFormat="1" x14ac:dyDescent="0.2">
      <c r="F84" s="74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AP84" s="71"/>
    </row>
    <row r="85" spans="6:42" s="64" customFormat="1" x14ac:dyDescent="0.2">
      <c r="F85" s="74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AP85" s="71"/>
    </row>
    <row r="86" spans="6:42" s="64" customFormat="1" x14ac:dyDescent="0.2">
      <c r="F86" s="74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AP86" s="71"/>
    </row>
    <row r="87" spans="6:42" s="64" customFormat="1" x14ac:dyDescent="0.2">
      <c r="F87" s="74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AP87" s="71"/>
    </row>
    <row r="88" spans="6:42" s="64" customFormat="1" x14ac:dyDescent="0.2">
      <c r="F88" s="74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AP88" s="71"/>
    </row>
    <row r="89" spans="6:42" s="64" customFormat="1" x14ac:dyDescent="0.2">
      <c r="F89" s="74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AP89" s="71"/>
    </row>
    <row r="90" spans="6:42" s="64" customFormat="1" x14ac:dyDescent="0.2">
      <c r="F90" s="74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AP90" s="71"/>
    </row>
    <row r="91" spans="6:42" s="64" customFormat="1" x14ac:dyDescent="0.2">
      <c r="F91" s="74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AP91" s="71"/>
    </row>
    <row r="92" spans="6:42" s="64" customFormat="1" x14ac:dyDescent="0.2">
      <c r="F92" s="74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AP92" s="71"/>
    </row>
    <row r="93" spans="6:42" s="64" customFormat="1" x14ac:dyDescent="0.2">
      <c r="F93" s="74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AP93" s="71"/>
    </row>
    <row r="94" spans="6:42" s="64" customFormat="1" x14ac:dyDescent="0.2">
      <c r="F94" s="74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AP94" s="71"/>
    </row>
    <row r="95" spans="6:42" s="64" customFormat="1" x14ac:dyDescent="0.2">
      <c r="F95" s="74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AP95" s="71"/>
    </row>
    <row r="96" spans="6:42" s="64" customFormat="1" x14ac:dyDescent="0.2">
      <c r="F96" s="74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AP96" s="71"/>
    </row>
    <row r="97" spans="6:42" s="64" customFormat="1" x14ac:dyDescent="0.2">
      <c r="F97" s="74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AP97" s="71"/>
    </row>
    <row r="98" spans="6:42" s="64" customFormat="1" x14ac:dyDescent="0.2">
      <c r="F98" s="74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AP98" s="71"/>
    </row>
    <row r="99" spans="6:42" s="64" customFormat="1" x14ac:dyDescent="0.2">
      <c r="F99" s="74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AP99" s="71"/>
    </row>
    <row r="100" spans="6:42" s="64" customFormat="1" x14ac:dyDescent="0.2">
      <c r="F100" s="74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AP100" s="71"/>
    </row>
    <row r="101" spans="6:42" s="64" customFormat="1" x14ac:dyDescent="0.2">
      <c r="F101" s="74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AP101" s="71"/>
    </row>
    <row r="102" spans="6:42" s="64" customFormat="1" x14ac:dyDescent="0.2">
      <c r="F102" s="74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AP102" s="71"/>
    </row>
    <row r="103" spans="6:42" s="64" customFormat="1" x14ac:dyDescent="0.2">
      <c r="F103" s="74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AP103" s="71"/>
    </row>
    <row r="104" spans="6:42" s="64" customFormat="1" x14ac:dyDescent="0.2">
      <c r="F104" s="74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AP104" s="71"/>
    </row>
    <row r="105" spans="6:42" s="64" customFormat="1" x14ac:dyDescent="0.2">
      <c r="F105" s="74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AP105" s="71"/>
    </row>
    <row r="106" spans="6:42" s="64" customFormat="1" x14ac:dyDescent="0.2">
      <c r="F106" s="74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AP106" s="71"/>
    </row>
    <row r="107" spans="6:42" s="64" customFormat="1" x14ac:dyDescent="0.2">
      <c r="F107" s="74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AP107" s="71"/>
    </row>
    <row r="108" spans="6:42" s="64" customFormat="1" x14ac:dyDescent="0.2">
      <c r="F108" s="74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AP108" s="71"/>
    </row>
    <row r="109" spans="6:42" s="64" customFormat="1" x14ac:dyDescent="0.2">
      <c r="F109" s="74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AP109" s="71"/>
    </row>
    <row r="110" spans="6:42" s="64" customFormat="1" x14ac:dyDescent="0.2">
      <c r="F110" s="74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AP110" s="71"/>
    </row>
    <row r="111" spans="6:42" s="64" customFormat="1" x14ac:dyDescent="0.2">
      <c r="F111" s="74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AP111" s="71"/>
    </row>
    <row r="112" spans="6:42" s="64" customFormat="1" x14ac:dyDescent="0.2">
      <c r="F112" s="74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AP112" s="71"/>
    </row>
    <row r="113" spans="6:42" s="64" customFormat="1" x14ac:dyDescent="0.2">
      <c r="F113" s="74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AP113" s="71"/>
    </row>
    <row r="114" spans="6:42" s="64" customFormat="1" x14ac:dyDescent="0.2">
      <c r="F114" s="74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AP114" s="71"/>
    </row>
    <row r="115" spans="6:42" s="64" customFormat="1" x14ac:dyDescent="0.2">
      <c r="F115" s="74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AP115" s="71"/>
    </row>
    <row r="116" spans="6:42" s="64" customFormat="1" x14ac:dyDescent="0.2">
      <c r="F116" s="74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AP116" s="71"/>
    </row>
    <row r="117" spans="6:42" s="64" customFormat="1" x14ac:dyDescent="0.2">
      <c r="F117" s="74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AP117" s="71"/>
    </row>
    <row r="118" spans="6:42" s="64" customFormat="1" x14ac:dyDescent="0.2">
      <c r="F118" s="74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AP118" s="71"/>
    </row>
    <row r="119" spans="6:42" s="64" customFormat="1" x14ac:dyDescent="0.2">
      <c r="F119" s="74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AP119" s="71"/>
    </row>
    <row r="120" spans="6:42" s="64" customFormat="1" x14ac:dyDescent="0.2">
      <c r="F120" s="74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AP120" s="71"/>
    </row>
    <row r="121" spans="6:42" s="64" customFormat="1" x14ac:dyDescent="0.2">
      <c r="F121" s="74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AP121" s="71"/>
    </row>
    <row r="122" spans="6:42" s="64" customFormat="1" x14ac:dyDescent="0.2">
      <c r="F122" s="74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AP122" s="71"/>
    </row>
    <row r="123" spans="6:42" s="64" customFormat="1" x14ac:dyDescent="0.2">
      <c r="F123" s="74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AP123" s="71"/>
    </row>
    <row r="124" spans="6:42" s="64" customFormat="1" x14ac:dyDescent="0.2">
      <c r="F124" s="74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AP124" s="71"/>
    </row>
    <row r="125" spans="6:42" s="64" customFormat="1" x14ac:dyDescent="0.2">
      <c r="F125" s="74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AP125" s="71"/>
    </row>
    <row r="126" spans="6:42" s="64" customFormat="1" x14ac:dyDescent="0.2">
      <c r="F126" s="74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AP126" s="71"/>
    </row>
    <row r="127" spans="6:42" s="64" customFormat="1" x14ac:dyDescent="0.2">
      <c r="F127" s="74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AP127" s="71"/>
    </row>
    <row r="128" spans="6:42" s="64" customFormat="1" x14ac:dyDescent="0.2">
      <c r="F128" s="74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AP128" s="71"/>
    </row>
    <row r="129" spans="6:42" s="64" customFormat="1" x14ac:dyDescent="0.2">
      <c r="F129" s="74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AP129" s="71"/>
    </row>
    <row r="130" spans="6:42" s="64" customFormat="1" x14ac:dyDescent="0.2">
      <c r="F130" s="74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AP130" s="71"/>
    </row>
    <row r="131" spans="6:42" s="64" customFormat="1" x14ac:dyDescent="0.2">
      <c r="F131" s="74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AP131" s="71"/>
    </row>
    <row r="132" spans="6:42" s="64" customFormat="1" x14ac:dyDescent="0.2">
      <c r="F132" s="74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AP132" s="71"/>
    </row>
    <row r="133" spans="6:42" s="64" customFormat="1" x14ac:dyDescent="0.2">
      <c r="F133" s="74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AP133" s="71"/>
    </row>
    <row r="134" spans="6:42" s="64" customFormat="1" x14ac:dyDescent="0.2">
      <c r="F134" s="74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AP134" s="71"/>
    </row>
    <row r="135" spans="6:42" s="64" customFormat="1" x14ac:dyDescent="0.2">
      <c r="F135" s="74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AP135" s="71"/>
    </row>
    <row r="136" spans="6:42" s="64" customFormat="1" x14ac:dyDescent="0.2">
      <c r="F136" s="74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AP136" s="71"/>
    </row>
    <row r="137" spans="6:42" s="64" customFormat="1" x14ac:dyDescent="0.2">
      <c r="F137" s="74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AP137" s="71"/>
    </row>
    <row r="138" spans="6:42" s="64" customFormat="1" x14ac:dyDescent="0.2">
      <c r="F138" s="74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AP138" s="71"/>
    </row>
    <row r="139" spans="6:42" s="64" customFormat="1" x14ac:dyDescent="0.2">
      <c r="F139" s="74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AP139" s="71"/>
    </row>
    <row r="140" spans="6:42" s="64" customFormat="1" x14ac:dyDescent="0.2">
      <c r="F140" s="74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AP140" s="71"/>
    </row>
    <row r="141" spans="6:42" s="64" customFormat="1" x14ac:dyDescent="0.2">
      <c r="F141" s="74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AP141" s="71"/>
    </row>
    <row r="142" spans="6:42" s="64" customFormat="1" x14ac:dyDescent="0.2">
      <c r="F142" s="74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AP142" s="71"/>
    </row>
    <row r="143" spans="6:42" s="64" customFormat="1" x14ac:dyDescent="0.2">
      <c r="F143" s="74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AP143" s="71"/>
    </row>
    <row r="144" spans="6:42" s="64" customFormat="1" x14ac:dyDescent="0.2">
      <c r="F144" s="74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AP144" s="71"/>
    </row>
    <row r="145" spans="6:42" s="64" customFormat="1" x14ac:dyDescent="0.2">
      <c r="F145" s="74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AP145" s="71"/>
    </row>
    <row r="146" spans="6:42" s="64" customFormat="1" x14ac:dyDescent="0.2">
      <c r="F146" s="74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AP146" s="71"/>
    </row>
    <row r="147" spans="6:42" s="64" customFormat="1" x14ac:dyDescent="0.2">
      <c r="F147" s="74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AP147" s="71"/>
    </row>
    <row r="148" spans="6:42" s="64" customFormat="1" x14ac:dyDescent="0.2">
      <c r="F148" s="74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AP148" s="71"/>
    </row>
    <row r="149" spans="6:42" s="64" customFormat="1" x14ac:dyDescent="0.2">
      <c r="F149" s="74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AP149" s="71"/>
    </row>
    <row r="150" spans="6:42" s="64" customFormat="1" x14ac:dyDescent="0.2">
      <c r="F150" s="74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AP150" s="71"/>
    </row>
    <row r="151" spans="6:42" s="64" customFormat="1" x14ac:dyDescent="0.2">
      <c r="F151" s="74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AP151" s="71"/>
    </row>
    <row r="152" spans="6:42" s="64" customFormat="1" x14ac:dyDescent="0.2">
      <c r="F152" s="74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AP152" s="71"/>
    </row>
    <row r="153" spans="6:42" s="64" customFormat="1" x14ac:dyDescent="0.2">
      <c r="F153" s="74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AP153" s="71"/>
    </row>
    <row r="154" spans="6:42" s="64" customFormat="1" x14ac:dyDescent="0.2">
      <c r="F154" s="74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AP154" s="71"/>
    </row>
    <row r="155" spans="6:42" s="64" customFormat="1" x14ac:dyDescent="0.2">
      <c r="F155" s="74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AP155" s="71"/>
    </row>
    <row r="156" spans="6:42" s="64" customFormat="1" x14ac:dyDescent="0.2">
      <c r="F156" s="74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AP156" s="71"/>
    </row>
    <row r="157" spans="6:42" s="64" customFormat="1" x14ac:dyDescent="0.2">
      <c r="F157" s="74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AP157" s="71"/>
    </row>
    <row r="158" spans="6:42" s="64" customFormat="1" x14ac:dyDescent="0.2">
      <c r="F158" s="74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AP158" s="71"/>
    </row>
    <row r="159" spans="6:42" s="64" customFormat="1" x14ac:dyDescent="0.2">
      <c r="F159" s="74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AP159" s="71"/>
    </row>
    <row r="160" spans="6:42" s="64" customFormat="1" x14ac:dyDescent="0.2">
      <c r="F160" s="74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AP160" s="71"/>
    </row>
    <row r="161" spans="6:42" s="64" customFormat="1" x14ac:dyDescent="0.2">
      <c r="F161" s="74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AP161" s="71"/>
    </row>
    <row r="162" spans="6:42" s="64" customFormat="1" x14ac:dyDescent="0.2">
      <c r="F162" s="74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AP162" s="71"/>
    </row>
    <row r="163" spans="6:42" s="64" customFormat="1" x14ac:dyDescent="0.2">
      <c r="F163" s="74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AP163" s="71"/>
    </row>
    <row r="164" spans="6:42" s="64" customFormat="1" x14ac:dyDescent="0.2">
      <c r="F164" s="74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AP164" s="71"/>
    </row>
    <row r="165" spans="6:42" s="64" customFormat="1" x14ac:dyDescent="0.2">
      <c r="F165" s="74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AP165" s="71"/>
    </row>
    <row r="166" spans="6:42" s="64" customFormat="1" x14ac:dyDescent="0.2">
      <c r="F166" s="74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AP166" s="71"/>
    </row>
    <row r="167" spans="6:42" s="64" customFormat="1" x14ac:dyDescent="0.2">
      <c r="F167" s="74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AP167" s="71"/>
    </row>
    <row r="168" spans="6:42" s="64" customFormat="1" x14ac:dyDescent="0.2">
      <c r="F168" s="74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AP168" s="71"/>
    </row>
    <row r="169" spans="6:42" s="64" customFormat="1" x14ac:dyDescent="0.2">
      <c r="F169" s="74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AP169" s="71"/>
    </row>
    <row r="170" spans="6:42" s="64" customFormat="1" x14ac:dyDescent="0.2">
      <c r="F170" s="74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AP170" s="71"/>
    </row>
    <row r="171" spans="6:42" s="64" customFormat="1" x14ac:dyDescent="0.2">
      <c r="F171" s="74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AP171" s="71"/>
    </row>
    <row r="172" spans="6:42" s="64" customFormat="1" x14ac:dyDescent="0.2">
      <c r="F172" s="74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AP172" s="71"/>
    </row>
    <row r="173" spans="6:42" s="64" customFormat="1" x14ac:dyDescent="0.2">
      <c r="F173" s="74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AP173" s="71"/>
    </row>
    <row r="174" spans="6:42" s="64" customFormat="1" x14ac:dyDescent="0.2">
      <c r="F174" s="74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AP174" s="71"/>
    </row>
    <row r="175" spans="6:42" s="64" customFormat="1" x14ac:dyDescent="0.2">
      <c r="F175" s="74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AP175" s="71"/>
    </row>
    <row r="176" spans="6:42" s="64" customFormat="1" x14ac:dyDescent="0.2">
      <c r="F176" s="74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AP176" s="71"/>
    </row>
    <row r="177" spans="6:42" s="64" customFormat="1" x14ac:dyDescent="0.2">
      <c r="F177" s="74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AP177" s="71"/>
    </row>
    <row r="178" spans="6:42" s="64" customFormat="1" x14ac:dyDescent="0.2">
      <c r="F178" s="74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AP178" s="71"/>
    </row>
    <row r="179" spans="6:42" s="64" customFormat="1" x14ac:dyDescent="0.2">
      <c r="F179" s="74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AP179" s="71"/>
    </row>
    <row r="180" spans="6:42" s="64" customFormat="1" x14ac:dyDescent="0.2">
      <c r="F180" s="74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AP180" s="71"/>
    </row>
    <row r="181" spans="6:42" s="64" customFormat="1" x14ac:dyDescent="0.2">
      <c r="F181" s="74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AP181" s="71"/>
    </row>
    <row r="182" spans="6:42" s="64" customFormat="1" x14ac:dyDescent="0.2">
      <c r="F182" s="74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AP182" s="71"/>
    </row>
    <row r="183" spans="6:42" s="64" customFormat="1" x14ac:dyDescent="0.2">
      <c r="F183" s="74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AP183" s="71"/>
    </row>
    <row r="184" spans="6:42" s="64" customFormat="1" x14ac:dyDescent="0.2">
      <c r="F184" s="74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AP184" s="71"/>
    </row>
    <row r="185" spans="6:42" s="64" customFormat="1" x14ac:dyDescent="0.2">
      <c r="F185" s="74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AP185" s="71"/>
    </row>
    <row r="186" spans="6:42" s="64" customFormat="1" x14ac:dyDescent="0.2">
      <c r="F186" s="74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AP186" s="71"/>
    </row>
    <row r="187" spans="6:42" s="64" customFormat="1" x14ac:dyDescent="0.2">
      <c r="F187" s="74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AP187" s="71"/>
    </row>
    <row r="188" spans="6:42" s="64" customFormat="1" x14ac:dyDescent="0.2">
      <c r="F188" s="74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AP188" s="71"/>
    </row>
    <row r="189" spans="6:42" s="64" customFormat="1" x14ac:dyDescent="0.2">
      <c r="F189" s="74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AP189" s="71"/>
    </row>
    <row r="190" spans="6:42" s="64" customFormat="1" x14ac:dyDescent="0.2">
      <c r="F190" s="74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AP190" s="71"/>
    </row>
    <row r="191" spans="6:42" s="64" customFormat="1" x14ac:dyDescent="0.2">
      <c r="F191" s="74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AP191" s="71"/>
    </row>
    <row r="192" spans="6:42" s="64" customFormat="1" x14ac:dyDescent="0.2">
      <c r="F192" s="74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AP192" s="71"/>
    </row>
    <row r="193" spans="6:42" s="64" customFormat="1" x14ac:dyDescent="0.2">
      <c r="F193" s="74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AP193" s="71"/>
    </row>
    <row r="194" spans="6:42" s="64" customFormat="1" x14ac:dyDescent="0.2">
      <c r="F194" s="74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AP194" s="71"/>
    </row>
    <row r="195" spans="6:42" s="64" customFormat="1" x14ac:dyDescent="0.2">
      <c r="F195" s="74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AP195" s="71"/>
    </row>
    <row r="196" spans="6:42" s="64" customFormat="1" x14ac:dyDescent="0.2">
      <c r="F196" s="74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AP196" s="71"/>
    </row>
    <row r="197" spans="6:42" s="64" customFormat="1" x14ac:dyDescent="0.2">
      <c r="F197" s="74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AP197" s="71"/>
    </row>
    <row r="198" spans="6:42" s="64" customFormat="1" x14ac:dyDescent="0.2">
      <c r="F198" s="74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AP198" s="71"/>
    </row>
    <row r="199" spans="6:42" s="64" customFormat="1" x14ac:dyDescent="0.2">
      <c r="F199" s="74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AP199" s="71"/>
    </row>
    <row r="200" spans="6:42" s="64" customFormat="1" x14ac:dyDescent="0.2">
      <c r="F200" s="74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AP200" s="71"/>
    </row>
    <row r="201" spans="6:42" s="64" customFormat="1" x14ac:dyDescent="0.2">
      <c r="F201" s="74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AP201" s="71"/>
    </row>
    <row r="202" spans="6:42" s="64" customFormat="1" x14ac:dyDescent="0.2">
      <c r="F202" s="74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AP202" s="71"/>
    </row>
    <row r="203" spans="6:42" s="64" customFormat="1" x14ac:dyDescent="0.2">
      <c r="F203" s="74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AP203" s="71"/>
    </row>
    <row r="204" spans="6:42" s="64" customFormat="1" x14ac:dyDescent="0.2">
      <c r="F204" s="74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AP204" s="71"/>
    </row>
    <row r="205" spans="6:42" s="64" customFormat="1" x14ac:dyDescent="0.2">
      <c r="F205" s="74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AP205" s="71"/>
    </row>
    <row r="206" spans="6:42" s="64" customFormat="1" x14ac:dyDescent="0.2">
      <c r="F206" s="74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AP206" s="71"/>
    </row>
    <row r="207" spans="6:42" s="64" customFormat="1" x14ac:dyDescent="0.2">
      <c r="F207" s="74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AP207" s="71"/>
    </row>
    <row r="208" spans="6:42" s="64" customFormat="1" x14ac:dyDescent="0.2">
      <c r="F208" s="74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AP208" s="71"/>
    </row>
    <row r="209" spans="6:42" s="64" customFormat="1" x14ac:dyDescent="0.2">
      <c r="F209" s="74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AP209" s="71"/>
    </row>
    <row r="210" spans="6:42" s="64" customFormat="1" x14ac:dyDescent="0.2">
      <c r="F210" s="74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AP210" s="71"/>
    </row>
    <row r="211" spans="6:42" s="64" customFormat="1" x14ac:dyDescent="0.2">
      <c r="F211" s="74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AP211" s="71"/>
    </row>
    <row r="212" spans="6:42" s="64" customFormat="1" x14ac:dyDescent="0.2">
      <c r="F212" s="74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AP212" s="71"/>
    </row>
    <row r="213" spans="6:42" s="64" customFormat="1" x14ac:dyDescent="0.2">
      <c r="F213" s="74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AP213" s="71"/>
    </row>
    <row r="214" spans="6:42" s="64" customFormat="1" x14ac:dyDescent="0.2">
      <c r="F214" s="74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AP214" s="71"/>
    </row>
    <row r="215" spans="6:42" s="64" customFormat="1" x14ac:dyDescent="0.2">
      <c r="F215" s="74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AP215" s="71"/>
    </row>
    <row r="216" spans="6:42" s="64" customFormat="1" x14ac:dyDescent="0.2">
      <c r="F216" s="74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AP216" s="71"/>
    </row>
    <row r="217" spans="6:42" s="64" customFormat="1" x14ac:dyDescent="0.2">
      <c r="F217" s="74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AP217" s="71"/>
    </row>
    <row r="218" spans="6:42" s="64" customFormat="1" x14ac:dyDescent="0.2">
      <c r="F218" s="74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AP218" s="71"/>
    </row>
    <row r="219" spans="6:42" s="64" customFormat="1" x14ac:dyDescent="0.2">
      <c r="F219" s="74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AP219" s="71"/>
    </row>
    <row r="220" spans="6:42" s="64" customFormat="1" x14ac:dyDescent="0.2">
      <c r="F220" s="74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AP220" s="71"/>
    </row>
    <row r="221" spans="6:42" s="64" customFormat="1" x14ac:dyDescent="0.2">
      <c r="F221" s="74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AP221" s="71"/>
    </row>
    <row r="222" spans="6:42" s="64" customFormat="1" x14ac:dyDescent="0.2">
      <c r="F222" s="74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AP222" s="71"/>
    </row>
    <row r="223" spans="6:42" s="64" customFormat="1" x14ac:dyDescent="0.2">
      <c r="F223" s="74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AP223" s="71"/>
    </row>
    <row r="224" spans="6:42" s="64" customFormat="1" x14ac:dyDescent="0.2">
      <c r="F224" s="74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AP224" s="71"/>
    </row>
    <row r="225" spans="6:42" s="64" customFormat="1" x14ac:dyDescent="0.2">
      <c r="F225" s="74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AP225" s="71"/>
    </row>
    <row r="226" spans="6:42" s="64" customFormat="1" x14ac:dyDescent="0.2">
      <c r="F226" s="74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AP226" s="71"/>
    </row>
    <row r="227" spans="6:42" s="64" customFormat="1" x14ac:dyDescent="0.2">
      <c r="F227" s="74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AP227" s="71"/>
    </row>
    <row r="228" spans="6:42" s="64" customFormat="1" x14ac:dyDescent="0.2">
      <c r="F228" s="74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AP228" s="71"/>
    </row>
    <row r="229" spans="6:42" s="64" customFormat="1" x14ac:dyDescent="0.2">
      <c r="F229" s="74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AP229" s="71"/>
    </row>
    <row r="230" spans="6:42" s="64" customFormat="1" x14ac:dyDescent="0.2">
      <c r="F230" s="74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AP230" s="71"/>
    </row>
    <row r="231" spans="6:42" s="64" customFormat="1" x14ac:dyDescent="0.2">
      <c r="F231" s="74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AP231" s="71"/>
    </row>
    <row r="232" spans="6:42" s="64" customFormat="1" x14ac:dyDescent="0.2">
      <c r="F232" s="74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AP232" s="71"/>
    </row>
    <row r="233" spans="6:42" s="64" customFormat="1" x14ac:dyDescent="0.2">
      <c r="F233" s="74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AP233" s="71"/>
    </row>
    <row r="234" spans="6:42" s="64" customFormat="1" x14ac:dyDescent="0.2">
      <c r="F234" s="74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AP234" s="71"/>
    </row>
    <row r="235" spans="6:42" s="64" customFormat="1" x14ac:dyDescent="0.2">
      <c r="F235" s="74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AP235" s="71"/>
    </row>
    <row r="236" spans="6:42" s="64" customFormat="1" x14ac:dyDescent="0.2">
      <c r="F236" s="74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AP236" s="71"/>
    </row>
    <row r="237" spans="6:42" s="64" customFormat="1" x14ac:dyDescent="0.2">
      <c r="F237" s="74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AP237" s="71"/>
    </row>
    <row r="238" spans="6:42" s="64" customFormat="1" x14ac:dyDescent="0.2">
      <c r="F238" s="74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AP238" s="71"/>
    </row>
    <row r="239" spans="6:42" s="64" customFormat="1" x14ac:dyDescent="0.2">
      <c r="F239" s="74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AP239" s="71"/>
    </row>
    <row r="240" spans="6:42" s="64" customFormat="1" x14ac:dyDescent="0.2">
      <c r="F240" s="74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AP240" s="71"/>
    </row>
    <row r="241" spans="6:42" s="64" customFormat="1" x14ac:dyDescent="0.2">
      <c r="F241" s="74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AP241" s="71"/>
    </row>
    <row r="242" spans="6:42" s="64" customFormat="1" x14ac:dyDescent="0.2">
      <c r="F242" s="74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AP242" s="71"/>
    </row>
    <row r="243" spans="6:42" s="64" customFormat="1" x14ac:dyDescent="0.2">
      <c r="F243" s="74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AP243" s="71"/>
    </row>
    <row r="244" spans="6:42" s="64" customFormat="1" x14ac:dyDescent="0.2">
      <c r="F244" s="74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AP244" s="71"/>
    </row>
    <row r="245" spans="6:42" s="64" customFormat="1" x14ac:dyDescent="0.2">
      <c r="F245" s="74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AP245" s="71"/>
    </row>
    <row r="246" spans="6:42" s="64" customFormat="1" x14ac:dyDescent="0.2">
      <c r="F246" s="74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AP246" s="71"/>
    </row>
    <row r="247" spans="6:42" s="64" customFormat="1" x14ac:dyDescent="0.2">
      <c r="F247" s="74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AP247" s="71"/>
    </row>
    <row r="248" spans="6:42" s="64" customFormat="1" x14ac:dyDescent="0.2">
      <c r="F248" s="74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AP248" s="71"/>
    </row>
    <row r="249" spans="6:42" s="64" customFormat="1" x14ac:dyDescent="0.2">
      <c r="F249" s="74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AP249" s="71"/>
    </row>
    <row r="250" spans="6:42" s="64" customFormat="1" x14ac:dyDescent="0.2">
      <c r="F250" s="74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AP250" s="71"/>
    </row>
    <row r="251" spans="6:42" s="64" customFormat="1" x14ac:dyDescent="0.2">
      <c r="F251" s="74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AP251" s="71"/>
    </row>
    <row r="252" spans="6:42" s="64" customFormat="1" x14ac:dyDescent="0.2">
      <c r="F252" s="74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AP252" s="71"/>
    </row>
    <row r="253" spans="6:42" s="64" customFormat="1" x14ac:dyDescent="0.2">
      <c r="F253" s="74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AP253" s="71"/>
    </row>
    <row r="254" spans="6:42" s="64" customFormat="1" x14ac:dyDescent="0.2">
      <c r="F254" s="74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AP254" s="71"/>
    </row>
    <row r="255" spans="6:42" s="64" customFormat="1" x14ac:dyDescent="0.2">
      <c r="F255" s="74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AP255" s="71"/>
    </row>
    <row r="256" spans="6:42" s="64" customFormat="1" x14ac:dyDescent="0.2">
      <c r="F256" s="74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AP256" s="71"/>
    </row>
    <row r="257" spans="6:42" s="64" customFormat="1" x14ac:dyDescent="0.2">
      <c r="F257" s="74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AP257" s="71"/>
    </row>
    <row r="258" spans="6:42" s="64" customFormat="1" x14ac:dyDescent="0.2">
      <c r="F258" s="74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AP258" s="71"/>
    </row>
    <row r="259" spans="6:42" s="64" customFormat="1" x14ac:dyDescent="0.2">
      <c r="F259" s="74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AP259" s="71"/>
    </row>
    <row r="260" spans="6:42" s="64" customFormat="1" x14ac:dyDescent="0.2">
      <c r="F260" s="74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AP260" s="71"/>
    </row>
    <row r="261" spans="6:42" s="64" customFormat="1" x14ac:dyDescent="0.2">
      <c r="F261" s="74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AP261" s="71"/>
    </row>
    <row r="262" spans="6:42" s="64" customFormat="1" x14ac:dyDescent="0.2">
      <c r="F262" s="74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AP262" s="71"/>
    </row>
    <row r="263" spans="6:42" s="64" customFormat="1" x14ac:dyDescent="0.2">
      <c r="F263" s="74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AP263" s="71"/>
    </row>
    <row r="264" spans="6:42" s="64" customFormat="1" x14ac:dyDescent="0.2">
      <c r="F264" s="74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AP264" s="71"/>
    </row>
    <row r="265" spans="6:42" s="64" customFormat="1" x14ac:dyDescent="0.2">
      <c r="F265" s="74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AP265" s="71"/>
    </row>
    <row r="266" spans="6:42" s="64" customFormat="1" x14ac:dyDescent="0.2">
      <c r="F266" s="74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AP266" s="71"/>
    </row>
    <row r="267" spans="6:42" s="64" customFormat="1" x14ac:dyDescent="0.2">
      <c r="F267" s="74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AP267" s="71"/>
    </row>
    <row r="268" spans="6:42" s="64" customFormat="1" x14ac:dyDescent="0.2">
      <c r="F268" s="74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AP268" s="71"/>
    </row>
    <row r="269" spans="6:42" s="64" customFormat="1" x14ac:dyDescent="0.2">
      <c r="F269" s="74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AP269" s="71"/>
    </row>
    <row r="270" spans="6:42" s="64" customFormat="1" x14ac:dyDescent="0.2">
      <c r="F270" s="74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AP270" s="71"/>
    </row>
    <row r="271" spans="6:42" s="64" customFormat="1" x14ac:dyDescent="0.2">
      <c r="F271" s="74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AP271" s="71"/>
    </row>
    <row r="272" spans="6:42" s="64" customFormat="1" x14ac:dyDescent="0.2">
      <c r="F272" s="74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AP272" s="71"/>
    </row>
    <row r="273" spans="6:42" s="64" customFormat="1" x14ac:dyDescent="0.2">
      <c r="F273" s="74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AP273" s="71"/>
    </row>
    <row r="274" spans="6:42" s="64" customFormat="1" x14ac:dyDescent="0.2">
      <c r="F274" s="74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AP274" s="71"/>
    </row>
    <row r="275" spans="6:42" s="64" customFormat="1" x14ac:dyDescent="0.2">
      <c r="F275" s="74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AP275" s="71"/>
    </row>
    <row r="276" spans="6:42" s="64" customFormat="1" x14ac:dyDescent="0.2">
      <c r="F276" s="74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AP276" s="71"/>
    </row>
    <row r="277" spans="6:42" s="64" customFormat="1" x14ac:dyDescent="0.2">
      <c r="F277" s="74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AP277" s="71"/>
    </row>
    <row r="278" spans="6:42" s="64" customFormat="1" x14ac:dyDescent="0.2">
      <c r="F278" s="74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AP278" s="71"/>
    </row>
    <row r="279" spans="6:42" s="64" customFormat="1" x14ac:dyDescent="0.2">
      <c r="F279" s="74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AP279" s="71"/>
    </row>
    <row r="280" spans="6:42" s="64" customFormat="1" x14ac:dyDescent="0.2">
      <c r="F280" s="74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AP280" s="71"/>
    </row>
    <row r="281" spans="6:42" s="64" customFormat="1" x14ac:dyDescent="0.2">
      <c r="F281" s="74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AP281" s="71"/>
    </row>
    <row r="282" spans="6:42" s="64" customFormat="1" x14ac:dyDescent="0.2">
      <c r="F282" s="74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AP282" s="71"/>
    </row>
    <row r="283" spans="6:42" s="64" customFormat="1" x14ac:dyDescent="0.2">
      <c r="F283" s="74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AP283" s="71"/>
    </row>
    <row r="284" spans="6:42" s="64" customFormat="1" x14ac:dyDescent="0.2">
      <c r="F284" s="74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AP284" s="71"/>
    </row>
    <row r="285" spans="6:42" s="64" customFormat="1" x14ac:dyDescent="0.2">
      <c r="F285" s="74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AP285" s="71"/>
    </row>
    <row r="286" spans="6:42" s="64" customFormat="1" x14ac:dyDescent="0.2">
      <c r="F286" s="74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AP286" s="71"/>
    </row>
    <row r="287" spans="6:42" s="64" customFormat="1" x14ac:dyDescent="0.2">
      <c r="F287" s="74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AP287" s="71"/>
    </row>
    <row r="288" spans="6:42" s="64" customFormat="1" x14ac:dyDescent="0.2">
      <c r="F288" s="74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AP288" s="71"/>
    </row>
    <row r="289" spans="6:42" s="64" customFormat="1" x14ac:dyDescent="0.2">
      <c r="F289" s="74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AP289" s="71"/>
    </row>
    <row r="290" spans="6:42" s="64" customFormat="1" x14ac:dyDescent="0.2">
      <c r="F290" s="74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AP290" s="71"/>
    </row>
    <row r="291" spans="6:42" s="64" customFormat="1" x14ac:dyDescent="0.2">
      <c r="F291" s="74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AP291" s="71"/>
    </row>
    <row r="292" spans="6:42" s="64" customFormat="1" x14ac:dyDescent="0.2">
      <c r="F292" s="74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AP292" s="71"/>
    </row>
    <row r="293" spans="6:42" s="64" customFormat="1" x14ac:dyDescent="0.2">
      <c r="F293" s="74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AP293" s="71"/>
    </row>
    <row r="294" spans="6:42" s="64" customFormat="1" x14ac:dyDescent="0.2">
      <c r="F294" s="74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AP294" s="71"/>
    </row>
    <row r="295" spans="6:42" s="64" customFormat="1" x14ac:dyDescent="0.2">
      <c r="F295" s="74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AP295" s="71"/>
    </row>
    <row r="296" spans="6:42" s="64" customFormat="1" x14ac:dyDescent="0.2">
      <c r="F296" s="74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AP296" s="71"/>
    </row>
    <row r="297" spans="6:42" s="64" customFormat="1" x14ac:dyDescent="0.2">
      <c r="F297" s="74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AP297" s="71"/>
    </row>
    <row r="298" spans="6:42" s="64" customFormat="1" x14ac:dyDescent="0.2">
      <c r="F298" s="74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AP298" s="71"/>
    </row>
    <row r="299" spans="6:42" s="64" customFormat="1" x14ac:dyDescent="0.2">
      <c r="F299" s="74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AP299" s="71"/>
    </row>
    <row r="300" spans="6:42" s="64" customFormat="1" x14ac:dyDescent="0.2">
      <c r="F300" s="74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AP300" s="71"/>
    </row>
    <row r="301" spans="6:42" s="64" customFormat="1" x14ac:dyDescent="0.2">
      <c r="F301" s="74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AP301" s="71"/>
    </row>
    <row r="302" spans="6:42" s="64" customFormat="1" x14ac:dyDescent="0.2">
      <c r="F302" s="74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AP302" s="71"/>
    </row>
    <row r="303" spans="6:42" s="64" customFormat="1" x14ac:dyDescent="0.2">
      <c r="F303" s="74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AP303" s="71"/>
    </row>
    <row r="304" spans="6:42" s="64" customFormat="1" x14ac:dyDescent="0.2">
      <c r="F304" s="74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AP304" s="71"/>
    </row>
    <row r="305" spans="6:42" s="64" customFormat="1" x14ac:dyDescent="0.2">
      <c r="F305" s="74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AP305" s="71"/>
    </row>
    <row r="306" spans="6:42" x14ac:dyDescent="0.2">
      <c r="F306" s="75"/>
    </row>
    <row r="388" spans="3:3" x14ac:dyDescent="0.2">
      <c r="C388">
        <v>0</v>
      </c>
    </row>
  </sheetData>
  <mergeCells count="1">
    <mergeCell ref="AQ2:AV2"/>
  </mergeCells>
  <pageMargins left="0.70866141732283472" right="0.70866141732283472" top="0.74803149606299213" bottom="0.74803149606299213" header="0.31496062992125984" footer="0.31496062992125984"/>
  <pageSetup paperSize="9" scale="39" fitToHeight="40" orientation="landscape" r:id="rId1"/>
  <headerFooter>
    <oddFooter xml:space="preserve">&amp;C&amp;"-,מודגש"&amp;22&amp;P+5&amp;18
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BD867"/>
  <sheetViews>
    <sheetView showZeros="0" rightToLeft="1" tabSelected="1" topLeftCell="E1" zoomScale="45" zoomScaleNormal="45" workbookViewId="0">
      <pane xSplit="2" ySplit="3" topLeftCell="G4" activePane="bottomRight" state="frozen"/>
      <selection activeCell="E1" sqref="E1"/>
      <selection pane="topRight" activeCell="H1" sqref="H1"/>
      <selection pane="bottomLeft" activeCell="E9" sqref="E9"/>
      <selection pane="bottomRight" activeCell="BD7" sqref="BD7"/>
    </sheetView>
  </sheetViews>
  <sheetFormatPr defaultRowHeight="27" x14ac:dyDescent="0.2"/>
  <cols>
    <col min="3" max="3" width="2" bestFit="1" customWidth="1"/>
    <col min="5" max="5" width="21.5" bestFit="1" customWidth="1"/>
    <col min="6" max="6" width="56.875" style="73" customWidth="1"/>
    <col min="7" max="7" width="20.875" style="28" hidden="1" customWidth="1"/>
    <col min="8" max="8" width="23.375" style="28" hidden="1" customWidth="1"/>
    <col min="9" max="9" width="20.875" style="28" hidden="1" customWidth="1"/>
    <col min="10" max="10" width="0.5" style="28" hidden="1" customWidth="1"/>
    <col min="11" max="11" width="24.5" style="28" hidden="1" customWidth="1"/>
    <col min="12" max="12" width="21.25" style="28" hidden="1" customWidth="1"/>
    <col min="13" max="13" width="20.25" style="28" hidden="1" customWidth="1"/>
    <col min="14" max="14" width="23.25" style="28" hidden="1" customWidth="1"/>
    <col min="15" max="15" width="22.75" style="28" hidden="1" customWidth="1"/>
    <col min="16" max="16" width="18" style="28" hidden="1" customWidth="1"/>
    <col min="17" max="17" width="22" style="28" hidden="1" customWidth="1"/>
    <col min="18" max="18" width="25.5" style="28" hidden="1" customWidth="1"/>
    <col min="19" max="19" width="25.5" hidden="1" customWidth="1"/>
    <col min="20" max="20" width="17.5" hidden="1" customWidth="1"/>
    <col min="21" max="21" width="34" hidden="1" customWidth="1"/>
    <col min="22" max="22" width="31.875" hidden="1" customWidth="1"/>
    <col min="23" max="23" width="29.75" customWidth="1"/>
    <col min="24" max="24" width="20" customWidth="1"/>
    <col min="25" max="25" width="23.5" bestFit="1" customWidth="1"/>
    <col min="26" max="26" width="18.625" customWidth="1"/>
    <col min="27" max="27" width="20.625" customWidth="1"/>
    <col min="28" max="28" width="23.5" bestFit="1" customWidth="1"/>
    <col min="29" max="29" width="20.5" customWidth="1"/>
    <col min="30" max="30" width="18.5" customWidth="1"/>
    <col min="31" max="31" width="23.5" bestFit="1" customWidth="1"/>
    <col min="32" max="32" width="20.375" customWidth="1"/>
    <col min="33" max="33" width="20.875" bestFit="1" customWidth="1"/>
    <col min="34" max="34" width="19.75" customWidth="1"/>
    <col min="35" max="39" width="24.75" hidden="1" customWidth="1"/>
    <col min="40" max="40" width="28.5" hidden="1" customWidth="1"/>
    <col min="41" max="41" width="11.5" hidden="1" customWidth="1"/>
    <col min="42" max="42" width="5" style="27" hidden="1" customWidth="1"/>
    <col min="43" max="43" width="9.5" hidden="1" customWidth="1"/>
    <col min="44" max="44" width="11" hidden="1" customWidth="1"/>
    <col min="45" max="45" width="8.5" hidden="1" customWidth="1"/>
    <col min="46" max="46" width="9.5" hidden="1" customWidth="1"/>
    <col min="47" max="47" width="10.5" hidden="1" customWidth="1"/>
    <col min="48" max="48" width="16.5" hidden="1" customWidth="1"/>
    <col min="49" max="49" width="19" hidden="1" customWidth="1"/>
    <col min="50" max="50" width="17.5" hidden="1" customWidth="1"/>
    <col min="51" max="51" width="2.75" hidden="1" customWidth="1"/>
    <col min="52" max="52" width="1.625" hidden="1" customWidth="1"/>
    <col min="53" max="53" width="9" customWidth="1"/>
    <col min="54" max="54" width="11.125" customWidth="1"/>
    <col min="55" max="55" width="12.125" customWidth="1"/>
    <col min="56" max="56" width="16.875" customWidth="1"/>
  </cols>
  <sheetData>
    <row r="1" spans="5:51" ht="52.5" hidden="1" customHeight="1" thickBot="1" x14ac:dyDescent="0.25">
      <c r="E1" s="80" t="s">
        <v>0</v>
      </c>
      <c r="F1" s="80" t="s">
        <v>556</v>
      </c>
      <c r="G1" s="77" t="s">
        <v>275</v>
      </c>
      <c r="H1" s="78" t="s">
        <v>557</v>
      </c>
      <c r="I1" s="77" t="s">
        <v>296</v>
      </c>
      <c r="J1" s="78" t="s">
        <v>558</v>
      </c>
      <c r="K1" s="77" t="s">
        <v>310</v>
      </c>
      <c r="L1" s="78" t="s">
        <v>559</v>
      </c>
      <c r="M1" s="77" t="s">
        <v>339</v>
      </c>
      <c r="N1" s="78" t="s">
        <v>560</v>
      </c>
      <c r="O1" s="77" t="s">
        <v>389</v>
      </c>
      <c r="P1" s="78" t="s">
        <v>561</v>
      </c>
      <c r="Q1" s="77" t="s">
        <v>562</v>
      </c>
      <c r="R1" s="78" t="s">
        <v>563</v>
      </c>
      <c r="S1" s="77" t="s">
        <v>384</v>
      </c>
      <c r="T1" s="79" t="s">
        <v>564</v>
      </c>
      <c r="U1" s="78" t="s">
        <v>565</v>
      </c>
      <c r="V1" s="57" t="s">
        <v>383</v>
      </c>
      <c r="W1" s="77" t="s">
        <v>554</v>
      </c>
      <c r="X1" s="79" t="s">
        <v>566</v>
      </c>
      <c r="Y1" s="79" t="s">
        <v>567</v>
      </c>
      <c r="Z1" s="79" t="s">
        <v>568</v>
      </c>
      <c r="AA1" s="79" t="s">
        <v>569</v>
      </c>
      <c r="AB1" s="78" t="s">
        <v>570</v>
      </c>
      <c r="AC1" s="77" t="s">
        <v>546</v>
      </c>
      <c r="AD1" s="79" t="s">
        <v>571</v>
      </c>
      <c r="AE1" s="79" t="s">
        <v>572</v>
      </c>
      <c r="AF1" s="79" t="s">
        <v>573</v>
      </c>
      <c r="AG1" s="79" t="s">
        <v>574</v>
      </c>
      <c r="AH1" s="78" t="s">
        <v>575</v>
      </c>
      <c r="AI1" s="77" t="s">
        <v>388</v>
      </c>
      <c r="AJ1" s="79" t="s">
        <v>576</v>
      </c>
      <c r="AK1" s="79" t="s">
        <v>577</v>
      </c>
      <c r="AL1" s="79" t="s">
        <v>578</v>
      </c>
      <c r="AM1" s="78" t="s">
        <v>579</v>
      </c>
      <c r="AN1" s="56" t="s">
        <v>5</v>
      </c>
      <c r="AO1" s="1"/>
      <c r="AP1" s="1"/>
      <c r="AQ1" s="1"/>
      <c r="AR1" s="1"/>
      <c r="AS1" s="1"/>
      <c r="AT1" s="1"/>
      <c r="AU1" s="1"/>
      <c r="AV1" s="2"/>
    </row>
    <row r="2" spans="5:51" ht="1.5" customHeight="1" thickBot="1" x14ac:dyDescent="0.25">
      <c r="E2" s="206" t="s">
        <v>581</v>
      </c>
      <c r="F2" s="125" t="s">
        <v>2</v>
      </c>
      <c r="G2" s="3"/>
      <c r="H2" s="3"/>
      <c r="I2" s="58"/>
      <c r="J2" s="59"/>
      <c r="K2" s="58"/>
      <c r="L2" s="59"/>
      <c r="M2" s="58"/>
      <c r="N2" s="59"/>
      <c r="O2" s="58"/>
      <c r="P2" s="59"/>
      <c r="Q2" s="58"/>
      <c r="R2" s="59"/>
      <c r="S2" s="88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90"/>
      <c r="AO2" s="4"/>
      <c r="AP2" s="5"/>
      <c r="AQ2" s="81" t="s">
        <v>3</v>
      </c>
      <c r="AR2" s="82"/>
      <c r="AS2" s="82"/>
      <c r="AT2" s="82"/>
      <c r="AU2" s="82"/>
      <c r="AV2" s="83"/>
    </row>
    <row r="3" spans="5:51" ht="183" customHeight="1" thickBot="1" x14ac:dyDescent="0.25">
      <c r="E3" s="208" t="s">
        <v>581</v>
      </c>
      <c r="F3" s="193" t="s">
        <v>2</v>
      </c>
      <c r="G3" s="209" t="s">
        <v>275</v>
      </c>
      <c r="H3" s="210" t="s">
        <v>295</v>
      </c>
      <c r="I3" s="192" t="s">
        <v>296</v>
      </c>
      <c r="J3" s="196" t="s">
        <v>311</v>
      </c>
      <c r="K3" s="192" t="s">
        <v>310</v>
      </c>
      <c r="L3" s="196" t="s">
        <v>338</v>
      </c>
      <c r="M3" s="192" t="s">
        <v>339</v>
      </c>
      <c r="N3" s="196" t="s">
        <v>340</v>
      </c>
      <c r="O3" s="192" t="s">
        <v>532</v>
      </c>
      <c r="P3" s="196" t="s">
        <v>533</v>
      </c>
      <c r="Q3" s="192" t="s">
        <v>415</v>
      </c>
      <c r="R3" s="196" t="s">
        <v>414</v>
      </c>
      <c r="S3" s="209" t="s">
        <v>385</v>
      </c>
      <c r="T3" s="193" t="s">
        <v>4</v>
      </c>
      <c r="U3" s="210" t="s">
        <v>386</v>
      </c>
      <c r="V3" s="191" t="s">
        <v>387</v>
      </c>
      <c r="W3" s="192" t="s">
        <v>554</v>
      </c>
      <c r="X3" s="193" t="s">
        <v>4</v>
      </c>
      <c r="Y3" s="194" t="s">
        <v>6</v>
      </c>
      <c r="Z3" s="194" t="s">
        <v>7</v>
      </c>
      <c r="AA3" s="194" t="s">
        <v>8</v>
      </c>
      <c r="AB3" s="195" t="s">
        <v>9</v>
      </c>
      <c r="AC3" s="192" t="s">
        <v>546</v>
      </c>
      <c r="AD3" s="193" t="s">
        <v>4</v>
      </c>
      <c r="AE3" s="194" t="s">
        <v>6</v>
      </c>
      <c r="AF3" s="194" t="s">
        <v>7</v>
      </c>
      <c r="AG3" s="194" t="s">
        <v>8</v>
      </c>
      <c r="AH3" s="196" t="s">
        <v>9</v>
      </c>
      <c r="AI3" s="42" t="s">
        <v>4</v>
      </c>
      <c r="AJ3" s="43" t="s">
        <v>6</v>
      </c>
      <c r="AK3" s="44" t="s">
        <v>7</v>
      </c>
      <c r="AL3" s="44" t="s">
        <v>8</v>
      </c>
      <c r="AM3" s="54" t="s">
        <v>9</v>
      </c>
      <c r="AN3" s="49" t="s">
        <v>5</v>
      </c>
      <c r="AO3" s="55" t="s">
        <v>10</v>
      </c>
      <c r="AP3" s="6" t="s">
        <v>11</v>
      </c>
      <c r="AQ3" s="6" t="s">
        <v>4</v>
      </c>
      <c r="AR3" s="6" t="s">
        <v>6</v>
      </c>
      <c r="AS3" s="7" t="s">
        <v>7</v>
      </c>
      <c r="AT3" s="7" t="s">
        <v>8</v>
      </c>
      <c r="AU3" s="8" t="s">
        <v>9</v>
      </c>
      <c r="AV3" s="6" t="s">
        <v>5</v>
      </c>
    </row>
    <row r="4" spans="5:51" ht="60" customHeight="1" x14ac:dyDescent="0.2">
      <c r="E4" s="211">
        <v>10100</v>
      </c>
      <c r="F4" s="212" t="s">
        <v>12</v>
      </c>
      <c r="G4" s="213"/>
      <c r="H4" s="214"/>
      <c r="I4" s="215"/>
      <c r="J4" s="216"/>
      <c r="K4" s="215"/>
      <c r="L4" s="216"/>
      <c r="M4" s="215"/>
      <c r="N4" s="216"/>
      <c r="O4" s="215"/>
      <c r="P4" s="216"/>
      <c r="Q4" s="215"/>
      <c r="R4" s="216"/>
      <c r="S4" s="213"/>
      <c r="T4" s="217"/>
      <c r="U4" s="214"/>
      <c r="V4" s="218"/>
      <c r="W4" s="215"/>
      <c r="X4" s="217"/>
      <c r="Y4" s="217"/>
      <c r="Z4" s="217"/>
      <c r="AA4" s="217"/>
      <c r="AB4" s="216"/>
      <c r="AC4" s="215"/>
      <c r="AD4" s="217"/>
      <c r="AE4" s="217"/>
      <c r="AF4" s="214"/>
      <c r="AG4" s="214"/>
      <c r="AH4" s="216"/>
      <c r="AI4" s="45"/>
      <c r="AJ4" s="9"/>
      <c r="AK4" s="9"/>
      <c r="AL4" s="9"/>
      <c r="AM4" s="46"/>
      <c r="AN4" s="50"/>
      <c r="AO4" s="36"/>
      <c r="AP4" s="9"/>
      <c r="AQ4" s="9"/>
      <c r="AR4" s="9"/>
      <c r="AS4" s="9"/>
      <c r="AT4" s="9"/>
      <c r="AU4" s="9"/>
      <c r="AV4" s="9"/>
      <c r="AW4" s="10"/>
    </row>
    <row r="5" spans="5:51" ht="60" customHeight="1" x14ac:dyDescent="0.2">
      <c r="E5" s="207">
        <f>E4+1</f>
        <v>10101</v>
      </c>
      <c r="F5" s="162" t="s">
        <v>13</v>
      </c>
      <c r="G5" s="163">
        <v>3950000</v>
      </c>
      <c r="H5" s="164">
        <v>3891549</v>
      </c>
      <c r="I5" s="165">
        <v>5100000</v>
      </c>
      <c r="J5" s="166">
        <v>4859835</v>
      </c>
      <c r="K5" s="165">
        <v>3900000</v>
      </c>
      <c r="L5" s="166">
        <v>3900000</v>
      </c>
      <c r="M5" s="165">
        <v>4650000</v>
      </c>
      <c r="N5" s="166">
        <v>4533006</v>
      </c>
      <c r="O5" s="165">
        <v>5098000</v>
      </c>
      <c r="P5" s="166">
        <v>5071695</v>
      </c>
      <c r="Q5" s="165">
        <f t="shared" ref="Q5:R8" si="0">O5-M5</f>
        <v>448000</v>
      </c>
      <c r="R5" s="166">
        <f t="shared" si="0"/>
        <v>538689</v>
      </c>
      <c r="S5" s="163">
        <v>1676000</v>
      </c>
      <c r="T5" s="167"/>
      <c r="U5" s="164">
        <f>+S5</f>
        <v>1676000</v>
      </c>
      <c r="V5" s="131">
        <v>2000000</v>
      </c>
      <c r="W5" s="165">
        <v>1000000</v>
      </c>
      <c r="X5" s="167"/>
      <c r="Y5" s="167"/>
      <c r="Z5" s="167"/>
      <c r="AA5" s="167">
        <f>W5/2</f>
        <v>500000</v>
      </c>
      <c r="AB5" s="166">
        <f>W5-AA5</f>
        <v>500000</v>
      </c>
      <c r="AC5" s="165">
        <f>V5-W5</f>
        <v>1000000</v>
      </c>
      <c r="AD5" s="168"/>
      <c r="AE5" s="168"/>
      <c r="AF5" s="169"/>
      <c r="AG5" s="167">
        <f>AC5/2</f>
        <v>500000</v>
      </c>
      <c r="AH5" s="166">
        <f>AC5-AG5</f>
        <v>500000</v>
      </c>
      <c r="AI5" s="35">
        <f t="shared" ref="AI5:AM9" si="1">AD5+X5</f>
        <v>0</v>
      </c>
      <c r="AJ5" s="11">
        <f t="shared" si="1"/>
        <v>0</v>
      </c>
      <c r="AK5" s="11">
        <f t="shared" si="1"/>
        <v>0</v>
      </c>
      <c r="AL5" s="11">
        <f t="shared" si="1"/>
        <v>1000000</v>
      </c>
      <c r="AM5" s="76">
        <f t="shared" si="1"/>
        <v>1000000</v>
      </c>
      <c r="AN5" s="51">
        <f>SUM(AJ5:AM5)</f>
        <v>2000000</v>
      </c>
      <c r="AO5" s="37"/>
      <c r="AP5" s="11"/>
      <c r="AQ5" s="11"/>
      <c r="AR5" s="11"/>
      <c r="AS5" s="11"/>
      <c r="AT5" s="11"/>
      <c r="AU5" s="11"/>
      <c r="AV5" s="9">
        <f>AU5+AT5+AS5+AR5</f>
        <v>0</v>
      </c>
      <c r="AW5" s="10">
        <f>AP5-AQ5-AV5</f>
        <v>0</v>
      </c>
      <c r="AY5" s="11">
        <f t="shared" ref="AY5:AY26" si="2">V5-W5-AC5</f>
        <v>0</v>
      </c>
    </row>
    <row r="6" spans="5:51" ht="60" customHeight="1" x14ac:dyDescent="0.2">
      <c r="E6" s="207">
        <f>E5+1</f>
        <v>10102</v>
      </c>
      <c r="F6" s="162" t="s">
        <v>382</v>
      </c>
      <c r="G6" s="163"/>
      <c r="H6" s="164"/>
      <c r="I6" s="165"/>
      <c r="J6" s="166"/>
      <c r="K6" s="165"/>
      <c r="L6" s="166"/>
      <c r="M6" s="165"/>
      <c r="N6" s="166"/>
      <c r="O6" s="165">
        <v>100000</v>
      </c>
      <c r="P6" s="166"/>
      <c r="Q6" s="165">
        <f t="shared" si="0"/>
        <v>100000</v>
      </c>
      <c r="R6" s="166">
        <f t="shared" si="0"/>
        <v>0</v>
      </c>
      <c r="S6" s="163"/>
      <c r="T6" s="167"/>
      <c r="U6" s="164"/>
      <c r="V6" s="131">
        <v>200000</v>
      </c>
      <c r="W6" s="165">
        <v>200000</v>
      </c>
      <c r="X6" s="167"/>
      <c r="Y6" s="167"/>
      <c r="Z6" s="167"/>
      <c r="AA6" s="167">
        <f>W6/2</f>
        <v>100000</v>
      </c>
      <c r="AB6" s="166">
        <f>W6-AA6</f>
        <v>100000</v>
      </c>
      <c r="AC6" s="165">
        <f>V6-W6</f>
        <v>0</v>
      </c>
      <c r="AD6" s="167"/>
      <c r="AE6" s="167"/>
      <c r="AF6" s="164"/>
      <c r="AG6" s="164"/>
      <c r="AH6" s="166"/>
      <c r="AI6" s="35">
        <f t="shared" si="1"/>
        <v>0</v>
      </c>
      <c r="AJ6" s="11">
        <f t="shared" si="1"/>
        <v>0</v>
      </c>
      <c r="AK6" s="11">
        <f t="shared" si="1"/>
        <v>0</v>
      </c>
      <c r="AL6" s="11">
        <f t="shared" si="1"/>
        <v>100000</v>
      </c>
      <c r="AM6" s="76">
        <f t="shared" si="1"/>
        <v>100000</v>
      </c>
      <c r="AN6" s="51">
        <f>SUM(AJ6:AM6)</f>
        <v>200000</v>
      </c>
      <c r="AO6" s="37"/>
      <c r="AP6" s="11"/>
      <c r="AQ6" s="11"/>
      <c r="AR6" s="11"/>
      <c r="AS6" s="11"/>
      <c r="AT6" s="11"/>
      <c r="AU6" s="11"/>
      <c r="AV6" s="9"/>
      <c r="AW6" s="10"/>
      <c r="AY6" s="11">
        <f t="shared" si="2"/>
        <v>0</v>
      </c>
    </row>
    <row r="7" spans="5:51" ht="60" customHeight="1" x14ac:dyDescent="0.2">
      <c r="E7" s="207">
        <f>E6+1</f>
        <v>10103</v>
      </c>
      <c r="F7" s="170" t="s">
        <v>14</v>
      </c>
      <c r="G7" s="156"/>
      <c r="H7" s="157"/>
      <c r="I7" s="158"/>
      <c r="J7" s="159"/>
      <c r="K7" s="158"/>
      <c r="L7" s="159"/>
      <c r="M7" s="158"/>
      <c r="N7" s="159"/>
      <c r="O7" s="158">
        <v>4500000</v>
      </c>
      <c r="P7" s="159">
        <v>1479000</v>
      </c>
      <c r="Q7" s="158">
        <f t="shared" si="0"/>
        <v>4500000</v>
      </c>
      <c r="R7" s="159">
        <f t="shared" si="0"/>
        <v>1479000</v>
      </c>
      <c r="S7" s="156"/>
      <c r="T7" s="160"/>
      <c r="U7" s="164"/>
      <c r="V7" s="161">
        <v>4960000</v>
      </c>
      <c r="W7" s="158">
        <v>0</v>
      </c>
      <c r="X7" s="160"/>
      <c r="Y7" s="160"/>
      <c r="Z7" s="160"/>
      <c r="AA7" s="160"/>
      <c r="AB7" s="159"/>
      <c r="AC7" s="165">
        <f>V7-W7</f>
        <v>4960000</v>
      </c>
      <c r="AD7" s="160"/>
      <c r="AE7" s="160"/>
      <c r="AF7" s="157"/>
      <c r="AG7" s="157"/>
      <c r="AH7" s="166">
        <f>V7-Z7</f>
        <v>4960000</v>
      </c>
      <c r="AI7" s="35">
        <f t="shared" si="1"/>
        <v>0</v>
      </c>
      <c r="AJ7" s="11">
        <f t="shared" si="1"/>
        <v>0</v>
      </c>
      <c r="AK7" s="11">
        <f t="shared" si="1"/>
        <v>0</v>
      </c>
      <c r="AL7" s="11">
        <f t="shared" si="1"/>
        <v>0</v>
      </c>
      <c r="AM7" s="76">
        <f t="shared" si="1"/>
        <v>4960000</v>
      </c>
      <c r="AN7" s="51">
        <f>SUM(AJ7:AM7)</f>
        <v>4960000</v>
      </c>
      <c r="AO7" s="36"/>
      <c r="AP7" s="9"/>
      <c r="AQ7" s="9"/>
      <c r="AR7" s="9"/>
      <c r="AS7" s="9"/>
      <c r="AT7" s="9"/>
      <c r="AU7" s="9"/>
      <c r="AV7" s="9">
        <f>AU7+AT7+AS7+AR7</f>
        <v>0</v>
      </c>
      <c r="AW7" s="10">
        <f>AP7-AQ7-AV7</f>
        <v>0</v>
      </c>
      <c r="AY7" s="11">
        <f t="shared" si="2"/>
        <v>0</v>
      </c>
    </row>
    <row r="8" spans="5:51" ht="60" customHeight="1" x14ac:dyDescent="0.2">
      <c r="E8" s="207">
        <f>E7+1</f>
        <v>10104</v>
      </c>
      <c r="F8" s="170" t="s">
        <v>15</v>
      </c>
      <c r="G8" s="163">
        <v>700000</v>
      </c>
      <c r="H8" s="164">
        <f>26250+455000</f>
        <v>481250</v>
      </c>
      <c r="I8" s="165">
        <v>700000</v>
      </c>
      <c r="J8" s="166">
        <v>350000</v>
      </c>
      <c r="K8" s="165">
        <v>600000</v>
      </c>
      <c r="L8" s="166">
        <f>350000-5506</f>
        <v>344494</v>
      </c>
      <c r="M8" s="165">
        <v>350000</v>
      </c>
      <c r="N8" s="166">
        <v>350000</v>
      </c>
      <c r="O8" s="165">
        <v>930000</v>
      </c>
      <c r="P8" s="166">
        <v>500000</v>
      </c>
      <c r="Q8" s="165">
        <f t="shared" si="0"/>
        <v>580000</v>
      </c>
      <c r="R8" s="166">
        <f t="shared" si="0"/>
        <v>150000</v>
      </c>
      <c r="S8" s="163">
        <v>313000</v>
      </c>
      <c r="T8" s="167"/>
      <c r="U8" s="164">
        <f>+S8</f>
        <v>313000</v>
      </c>
      <c r="V8" s="131">
        <v>500000</v>
      </c>
      <c r="W8" s="165">
        <f>V8</f>
        <v>500000</v>
      </c>
      <c r="X8" s="167"/>
      <c r="Y8" s="167"/>
      <c r="Z8" s="167"/>
      <c r="AA8" s="167">
        <f>W8</f>
        <v>500000</v>
      </c>
      <c r="AB8" s="166"/>
      <c r="AC8" s="165">
        <f>V8-W8</f>
        <v>0</v>
      </c>
      <c r="AD8" s="167"/>
      <c r="AE8" s="167"/>
      <c r="AF8" s="164"/>
      <c r="AG8" s="164"/>
      <c r="AH8" s="166"/>
      <c r="AI8" s="35">
        <f t="shared" si="1"/>
        <v>0</v>
      </c>
      <c r="AJ8" s="11">
        <f t="shared" si="1"/>
        <v>0</v>
      </c>
      <c r="AK8" s="11">
        <f t="shared" si="1"/>
        <v>0</v>
      </c>
      <c r="AL8" s="11">
        <f t="shared" si="1"/>
        <v>500000</v>
      </c>
      <c r="AM8" s="76">
        <f t="shared" si="1"/>
        <v>0</v>
      </c>
      <c r="AN8" s="51">
        <f>SUM(AJ8:AM8)</f>
        <v>500000</v>
      </c>
      <c r="AO8" s="37"/>
      <c r="AP8" s="11"/>
      <c r="AQ8" s="11"/>
      <c r="AR8" s="11"/>
      <c r="AS8" s="11"/>
      <c r="AT8" s="11"/>
      <c r="AU8" s="11"/>
      <c r="AV8" s="9">
        <f>AU8+AT8+AS8+AR8</f>
        <v>0</v>
      </c>
      <c r="AW8" s="10">
        <f t="shared" ref="AW8:AW24" si="3">AP8-AQ8-AV8</f>
        <v>0</v>
      </c>
      <c r="AY8" s="11">
        <f t="shared" si="2"/>
        <v>0</v>
      </c>
    </row>
    <row r="9" spans="5:51" ht="60" customHeight="1" x14ac:dyDescent="0.2">
      <c r="E9" s="207">
        <f>E8+1</f>
        <v>10105</v>
      </c>
      <c r="F9" s="162" t="s">
        <v>540</v>
      </c>
      <c r="G9" s="163"/>
      <c r="H9" s="164"/>
      <c r="I9" s="165">
        <v>100000</v>
      </c>
      <c r="J9" s="166"/>
      <c r="K9" s="165"/>
      <c r="L9" s="166"/>
      <c r="M9" s="165"/>
      <c r="N9" s="166"/>
      <c r="O9" s="165"/>
      <c r="P9" s="166"/>
      <c r="Q9" s="165"/>
      <c r="R9" s="166"/>
      <c r="S9" s="163"/>
      <c r="T9" s="167"/>
      <c r="U9" s="164"/>
      <c r="V9" s="131">
        <v>389000</v>
      </c>
      <c r="W9" s="165">
        <f>+V9</f>
        <v>389000</v>
      </c>
      <c r="X9" s="167"/>
      <c r="Y9" s="167"/>
      <c r="Z9" s="167"/>
      <c r="AA9" s="167">
        <f>W9</f>
        <v>389000</v>
      </c>
      <c r="AB9" s="166"/>
      <c r="AC9" s="165"/>
      <c r="AD9" s="167"/>
      <c r="AE9" s="167"/>
      <c r="AF9" s="164"/>
      <c r="AG9" s="164"/>
      <c r="AH9" s="166"/>
      <c r="AI9" s="35">
        <f t="shared" si="1"/>
        <v>0</v>
      </c>
      <c r="AJ9" s="11">
        <f t="shared" si="1"/>
        <v>0</v>
      </c>
      <c r="AK9" s="11">
        <f t="shared" si="1"/>
        <v>0</v>
      </c>
      <c r="AL9" s="11">
        <f t="shared" si="1"/>
        <v>389000</v>
      </c>
      <c r="AM9" s="76">
        <f t="shared" si="1"/>
        <v>0</v>
      </c>
      <c r="AN9" s="51">
        <f>SUM(AJ9:AM9)</f>
        <v>389000</v>
      </c>
      <c r="AO9" s="38"/>
      <c r="AP9" s="11"/>
      <c r="AQ9" s="12"/>
      <c r="AR9" s="12"/>
      <c r="AS9" s="12"/>
      <c r="AT9" s="11"/>
      <c r="AU9" s="12"/>
      <c r="AV9" s="9">
        <f>AU9+AT9+AS9+AR9</f>
        <v>0</v>
      </c>
      <c r="AW9" s="10">
        <f t="shared" si="3"/>
        <v>0</v>
      </c>
      <c r="AY9" s="11">
        <f t="shared" si="2"/>
        <v>0</v>
      </c>
    </row>
    <row r="10" spans="5:51" ht="60" customHeight="1" x14ac:dyDescent="0.2">
      <c r="E10" s="150"/>
      <c r="F10" s="127" t="s">
        <v>16</v>
      </c>
      <c r="G10" s="118">
        <f t="shared" ref="G10:AV10" si="4">SUM(G5:G9)</f>
        <v>4650000</v>
      </c>
      <c r="H10" s="116">
        <f t="shared" si="4"/>
        <v>4372799</v>
      </c>
      <c r="I10" s="115">
        <f t="shared" si="4"/>
        <v>5900000</v>
      </c>
      <c r="J10" s="117">
        <f t="shared" si="4"/>
        <v>5209835</v>
      </c>
      <c r="K10" s="115">
        <f t="shared" si="4"/>
        <v>4500000</v>
      </c>
      <c r="L10" s="117">
        <f t="shared" si="4"/>
        <v>4244494</v>
      </c>
      <c r="M10" s="115">
        <f t="shared" si="4"/>
        <v>5000000</v>
      </c>
      <c r="N10" s="117">
        <f t="shared" si="4"/>
        <v>4883006</v>
      </c>
      <c r="O10" s="115">
        <f t="shared" si="4"/>
        <v>10628000</v>
      </c>
      <c r="P10" s="117">
        <f t="shared" si="4"/>
        <v>7050695</v>
      </c>
      <c r="Q10" s="115">
        <f t="shared" si="4"/>
        <v>5628000</v>
      </c>
      <c r="R10" s="117">
        <f t="shared" si="4"/>
        <v>2167689</v>
      </c>
      <c r="S10" s="118">
        <f t="shared" si="4"/>
        <v>1989000</v>
      </c>
      <c r="T10" s="118">
        <f t="shared" si="4"/>
        <v>0</v>
      </c>
      <c r="U10" s="118">
        <f t="shared" si="4"/>
        <v>1989000</v>
      </c>
      <c r="V10" s="119">
        <f t="shared" si="4"/>
        <v>8049000</v>
      </c>
      <c r="W10" s="115">
        <f t="shared" si="4"/>
        <v>2089000</v>
      </c>
      <c r="X10" s="120">
        <f t="shared" si="4"/>
        <v>0</v>
      </c>
      <c r="Y10" s="120">
        <f t="shared" si="4"/>
        <v>0</v>
      </c>
      <c r="Z10" s="120">
        <f t="shared" si="4"/>
        <v>0</v>
      </c>
      <c r="AA10" s="120">
        <f t="shared" si="4"/>
        <v>1489000</v>
      </c>
      <c r="AB10" s="117">
        <f t="shared" si="4"/>
        <v>600000</v>
      </c>
      <c r="AC10" s="115">
        <f t="shared" si="4"/>
        <v>5960000</v>
      </c>
      <c r="AD10" s="120">
        <f t="shared" si="4"/>
        <v>0</v>
      </c>
      <c r="AE10" s="120">
        <f t="shared" si="4"/>
        <v>0</v>
      </c>
      <c r="AF10" s="116">
        <f t="shared" si="4"/>
        <v>0</v>
      </c>
      <c r="AG10" s="116">
        <f t="shared" si="4"/>
        <v>500000</v>
      </c>
      <c r="AH10" s="117">
        <f t="shared" si="4"/>
        <v>5460000</v>
      </c>
      <c r="AI10" s="47">
        <f t="shared" si="4"/>
        <v>0</v>
      </c>
      <c r="AJ10" s="10">
        <f t="shared" si="4"/>
        <v>0</v>
      </c>
      <c r="AK10" s="10">
        <f t="shared" si="4"/>
        <v>0</v>
      </c>
      <c r="AL10" s="10">
        <f t="shared" si="4"/>
        <v>1989000</v>
      </c>
      <c r="AM10" s="48">
        <f t="shared" si="4"/>
        <v>6060000</v>
      </c>
      <c r="AN10" s="52">
        <f t="shared" si="4"/>
        <v>8049000</v>
      </c>
      <c r="AO10" s="39">
        <f t="shared" si="4"/>
        <v>0</v>
      </c>
      <c r="AP10" s="10">
        <f t="shared" si="4"/>
        <v>0</v>
      </c>
      <c r="AQ10" s="10">
        <f t="shared" si="4"/>
        <v>0</v>
      </c>
      <c r="AR10" s="10">
        <f t="shared" si="4"/>
        <v>0</v>
      </c>
      <c r="AS10" s="10">
        <f t="shared" si="4"/>
        <v>0</v>
      </c>
      <c r="AT10" s="10">
        <f t="shared" si="4"/>
        <v>0</v>
      </c>
      <c r="AU10" s="10">
        <f t="shared" si="4"/>
        <v>0</v>
      </c>
      <c r="AV10" s="10">
        <f t="shared" si="4"/>
        <v>0</v>
      </c>
      <c r="AW10" s="10">
        <f t="shared" si="3"/>
        <v>0</v>
      </c>
      <c r="AY10" s="11">
        <f t="shared" si="2"/>
        <v>0</v>
      </c>
    </row>
    <row r="11" spans="5:51" ht="60" customHeight="1" x14ac:dyDescent="0.2">
      <c r="E11" s="151"/>
      <c r="F11" s="155" t="s">
        <v>17</v>
      </c>
      <c r="G11" s="156"/>
      <c r="H11" s="157"/>
      <c r="I11" s="158"/>
      <c r="J11" s="159"/>
      <c r="K11" s="158"/>
      <c r="L11" s="159"/>
      <c r="M11" s="158"/>
      <c r="N11" s="159"/>
      <c r="O11" s="158"/>
      <c r="P11" s="159"/>
      <c r="Q11" s="158"/>
      <c r="R11" s="159"/>
      <c r="S11" s="156"/>
      <c r="T11" s="160"/>
      <c r="U11" s="157"/>
      <c r="V11" s="161"/>
      <c r="W11" s="158"/>
      <c r="X11" s="160"/>
      <c r="Y11" s="160"/>
      <c r="Z11" s="160"/>
      <c r="AA11" s="160"/>
      <c r="AB11" s="159"/>
      <c r="AC11" s="158"/>
      <c r="AD11" s="160"/>
      <c r="AE11" s="160"/>
      <c r="AF11" s="157"/>
      <c r="AG11" s="157"/>
      <c r="AH11" s="159"/>
      <c r="AI11" s="35">
        <f>AD11+X11</f>
        <v>0</v>
      </c>
      <c r="AJ11" s="11">
        <f>AE11+Y11</f>
        <v>0</v>
      </c>
      <c r="AK11" s="11">
        <f>AF11+Z11</f>
        <v>0</v>
      </c>
      <c r="AL11" s="11">
        <f>AG11+AA11</f>
        <v>0</v>
      </c>
      <c r="AM11" s="76">
        <f>AH11+AB11</f>
        <v>0</v>
      </c>
      <c r="AN11" s="50"/>
      <c r="AO11" s="36"/>
      <c r="AP11" s="9"/>
      <c r="AQ11" s="9"/>
      <c r="AR11" s="9"/>
      <c r="AS11" s="9"/>
      <c r="AT11" s="9"/>
      <c r="AU11" s="9"/>
      <c r="AV11" s="9"/>
      <c r="AW11" s="10">
        <f t="shared" si="3"/>
        <v>0</v>
      </c>
      <c r="AY11" s="11">
        <f t="shared" si="2"/>
        <v>0</v>
      </c>
    </row>
    <row r="12" spans="5:51" ht="60" customHeight="1" x14ac:dyDescent="0.2">
      <c r="E12" s="151">
        <v>20100</v>
      </c>
      <c r="F12" s="155" t="s">
        <v>18</v>
      </c>
      <c r="G12" s="156"/>
      <c r="H12" s="157"/>
      <c r="I12" s="158"/>
      <c r="J12" s="159"/>
      <c r="K12" s="158"/>
      <c r="L12" s="159"/>
      <c r="M12" s="158"/>
      <c r="N12" s="159"/>
      <c r="O12" s="158"/>
      <c r="P12" s="159"/>
      <c r="Q12" s="158"/>
      <c r="R12" s="159"/>
      <c r="S12" s="156"/>
      <c r="T12" s="160"/>
      <c r="U12" s="157"/>
      <c r="V12" s="161"/>
      <c r="W12" s="158"/>
      <c r="X12" s="160"/>
      <c r="Y12" s="160"/>
      <c r="Z12" s="160"/>
      <c r="AA12" s="160"/>
      <c r="AB12" s="159"/>
      <c r="AC12" s="158"/>
      <c r="AD12" s="160"/>
      <c r="AE12" s="160"/>
      <c r="AF12" s="157"/>
      <c r="AG12" s="157"/>
      <c r="AH12" s="159"/>
      <c r="AI12" s="35">
        <f t="shared" ref="AI12:AI21" si="5">AD12+X12</f>
        <v>0</v>
      </c>
      <c r="AJ12" s="11">
        <f t="shared" ref="AJ12:AJ21" si="6">AE12+Y12</f>
        <v>0</v>
      </c>
      <c r="AK12" s="11">
        <f t="shared" ref="AK12:AK21" si="7">AF12+Z12</f>
        <v>0</v>
      </c>
      <c r="AL12" s="11">
        <f t="shared" ref="AL12:AL21" si="8">AG12+AA12</f>
        <v>0</v>
      </c>
      <c r="AM12" s="76">
        <f t="shared" ref="AM12:AM21" si="9">AH12+AB12</f>
        <v>0</v>
      </c>
      <c r="AN12" s="50"/>
      <c r="AO12" s="36"/>
      <c r="AP12" s="9"/>
      <c r="AQ12" s="9"/>
      <c r="AR12" s="9"/>
      <c r="AS12" s="9"/>
      <c r="AT12" s="9"/>
      <c r="AU12" s="9"/>
      <c r="AV12" s="9"/>
      <c r="AW12" s="10">
        <f t="shared" si="3"/>
        <v>0</v>
      </c>
      <c r="AY12" s="11">
        <f t="shared" si="2"/>
        <v>0</v>
      </c>
    </row>
    <row r="13" spans="5:51" ht="60" customHeight="1" x14ac:dyDescent="0.2">
      <c r="E13" s="151">
        <f t="shared" ref="E13:E21" si="10">E12+1</f>
        <v>20101</v>
      </c>
      <c r="F13" s="162" t="s">
        <v>19</v>
      </c>
      <c r="G13" s="156">
        <v>1000000</v>
      </c>
      <c r="H13" s="157">
        <v>999970</v>
      </c>
      <c r="I13" s="158">
        <v>1000000</v>
      </c>
      <c r="J13" s="159">
        <v>989071</v>
      </c>
      <c r="K13" s="158">
        <v>1000000</v>
      </c>
      <c r="L13" s="159">
        <v>943500</v>
      </c>
      <c r="M13" s="158">
        <v>1000000</v>
      </c>
      <c r="N13" s="159">
        <v>979438</v>
      </c>
      <c r="O13" s="158">
        <v>1000000</v>
      </c>
      <c r="P13" s="159">
        <v>880500</v>
      </c>
      <c r="Q13" s="165">
        <f t="shared" ref="Q13:R18" si="11">O13-M13</f>
        <v>0</v>
      </c>
      <c r="R13" s="166">
        <f t="shared" si="11"/>
        <v>-98938</v>
      </c>
      <c r="S13" s="156">
        <v>177000</v>
      </c>
      <c r="T13" s="160"/>
      <c r="U13" s="164">
        <f>+S13</f>
        <v>177000</v>
      </c>
      <c r="V13" s="161">
        <v>1000000</v>
      </c>
      <c r="W13" s="158">
        <v>0</v>
      </c>
      <c r="X13" s="160"/>
      <c r="Y13" s="160">
        <f>W13</f>
        <v>0</v>
      </c>
      <c r="Z13" s="160"/>
      <c r="AA13" s="160"/>
      <c r="AB13" s="159"/>
      <c r="AC13" s="158">
        <f t="shared" ref="AC13:AC21" si="12">V13-W13</f>
        <v>1000000</v>
      </c>
      <c r="AD13" s="160"/>
      <c r="AE13" s="160"/>
      <c r="AF13" s="157"/>
      <c r="AG13" s="157">
        <f>AC13</f>
        <v>1000000</v>
      </c>
      <c r="AH13" s="159"/>
      <c r="AI13" s="35">
        <f t="shared" si="5"/>
        <v>0</v>
      </c>
      <c r="AJ13" s="11">
        <f t="shared" si="6"/>
        <v>0</v>
      </c>
      <c r="AK13" s="11">
        <f t="shared" si="7"/>
        <v>0</v>
      </c>
      <c r="AL13" s="11">
        <f t="shared" si="8"/>
        <v>1000000</v>
      </c>
      <c r="AM13" s="76">
        <f t="shared" si="9"/>
        <v>0</v>
      </c>
      <c r="AN13" s="51">
        <f t="shared" ref="AN13:AN21" si="13">SUM(AJ13:AM13)</f>
        <v>1000000</v>
      </c>
      <c r="AO13" s="36"/>
      <c r="AP13" s="9"/>
      <c r="AQ13" s="9"/>
      <c r="AR13" s="9"/>
      <c r="AS13" s="9"/>
      <c r="AT13" s="9"/>
      <c r="AU13" s="9"/>
      <c r="AV13" s="9">
        <f t="shared" ref="AV13:AV18" si="14">AU13+AT13+AS13+AR13</f>
        <v>0</v>
      </c>
      <c r="AW13" s="10">
        <f t="shared" si="3"/>
        <v>0</v>
      </c>
      <c r="AY13" s="11">
        <f t="shared" si="2"/>
        <v>0</v>
      </c>
    </row>
    <row r="14" spans="5:51" ht="60" customHeight="1" x14ac:dyDescent="0.2">
      <c r="E14" s="151">
        <f t="shared" si="10"/>
        <v>20102</v>
      </c>
      <c r="F14" s="170" t="s">
        <v>20</v>
      </c>
      <c r="G14" s="156">
        <v>1000000</v>
      </c>
      <c r="H14" s="157">
        <f>G14</f>
        <v>1000000</v>
      </c>
      <c r="I14" s="158">
        <v>1000000</v>
      </c>
      <c r="J14" s="159">
        <v>1000000</v>
      </c>
      <c r="K14" s="158">
        <v>1000000</v>
      </c>
      <c r="L14" s="159">
        <f>500000+400000+425000+100000-299225-125851</f>
        <v>999924</v>
      </c>
      <c r="M14" s="158">
        <v>1000000</v>
      </c>
      <c r="N14" s="159">
        <v>500000</v>
      </c>
      <c r="O14" s="158">
        <v>2000000</v>
      </c>
      <c r="P14" s="159">
        <v>1100000</v>
      </c>
      <c r="Q14" s="165">
        <f t="shared" si="11"/>
        <v>1000000</v>
      </c>
      <c r="R14" s="166">
        <f t="shared" si="11"/>
        <v>600000</v>
      </c>
      <c r="S14" s="156">
        <v>439174</v>
      </c>
      <c r="T14" s="160"/>
      <c r="U14" s="164">
        <f>S14</f>
        <v>439174</v>
      </c>
      <c r="V14" s="161">
        <v>2000000</v>
      </c>
      <c r="W14" s="158">
        <v>2000000</v>
      </c>
      <c r="X14" s="160"/>
      <c r="Y14" s="160">
        <f>W14</f>
        <v>2000000</v>
      </c>
      <c r="Z14" s="160"/>
      <c r="AA14" s="167"/>
      <c r="AB14" s="166"/>
      <c r="AC14" s="158">
        <f t="shared" si="12"/>
        <v>0</v>
      </c>
      <c r="AD14" s="160"/>
      <c r="AE14" s="160"/>
      <c r="AF14" s="157"/>
      <c r="AG14" s="157"/>
      <c r="AH14" s="159"/>
      <c r="AI14" s="35">
        <f t="shared" si="5"/>
        <v>0</v>
      </c>
      <c r="AJ14" s="11">
        <f t="shared" si="6"/>
        <v>2000000</v>
      </c>
      <c r="AK14" s="11">
        <f t="shared" si="7"/>
        <v>0</v>
      </c>
      <c r="AL14" s="11">
        <f t="shared" si="8"/>
        <v>0</v>
      </c>
      <c r="AM14" s="76">
        <f t="shared" si="9"/>
        <v>0</v>
      </c>
      <c r="AN14" s="51">
        <f t="shared" si="13"/>
        <v>2000000</v>
      </c>
      <c r="AO14" s="36"/>
      <c r="AP14" s="9"/>
      <c r="AQ14" s="9"/>
      <c r="AR14" s="9"/>
      <c r="AS14" s="9"/>
      <c r="AT14" s="9"/>
      <c r="AU14" s="9"/>
      <c r="AV14" s="9">
        <f t="shared" si="14"/>
        <v>0</v>
      </c>
      <c r="AW14" s="10">
        <f t="shared" si="3"/>
        <v>0</v>
      </c>
      <c r="AY14" s="11">
        <f t="shared" si="2"/>
        <v>0</v>
      </c>
    </row>
    <row r="15" spans="5:51" ht="60" customHeight="1" x14ac:dyDescent="0.2">
      <c r="E15" s="151">
        <f t="shared" si="10"/>
        <v>20103</v>
      </c>
      <c r="F15" s="170" t="s">
        <v>21</v>
      </c>
      <c r="G15" s="156">
        <v>20000000</v>
      </c>
      <c r="H15" s="157">
        <v>500000</v>
      </c>
      <c r="I15" s="158">
        <v>15000000</v>
      </c>
      <c r="J15" s="159">
        <v>0</v>
      </c>
      <c r="K15" s="158">
        <v>15000000</v>
      </c>
      <c r="L15" s="159">
        <f>364700+125000+50000+627570+611585</f>
        <v>1778855</v>
      </c>
      <c r="M15" s="158">
        <v>26000000</v>
      </c>
      <c r="N15" s="159">
        <f>6060000+10000000</f>
        <v>16060000</v>
      </c>
      <c r="O15" s="158">
        <v>20000000</v>
      </c>
      <c r="P15" s="159">
        <v>8180000</v>
      </c>
      <c r="Q15" s="165">
        <f t="shared" si="11"/>
        <v>-6000000</v>
      </c>
      <c r="R15" s="166">
        <f t="shared" si="11"/>
        <v>-7880000</v>
      </c>
      <c r="S15" s="156">
        <v>14457355</v>
      </c>
      <c r="T15" s="160"/>
      <c r="U15" s="164">
        <f>S15</f>
        <v>14457355</v>
      </c>
      <c r="V15" s="161">
        <v>50000000</v>
      </c>
      <c r="W15" s="158">
        <f>V15</f>
        <v>50000000</v>
      </c>
      <c r="X15" s="160"/>
      <c r="Y15" s="160">
        <f>W15/2</f>
        <v>25000000</v>
      </c>
      <c r="Z15" s="160">
        <f>V15-Y15</f>
        <v>25000000</v>
      </c>
      <c r="AA15" s="160"/>
      <c r="AB15" s="159"/>
      <c r="AC15" s="158">
        <f t="shared" si="12"/>
        <v>0</v>
      </c>
      <c r="AD15" s="160"/>
      <c r="AE15" s="160"/>
      <c r="AF15" s="157"/>
      <c r="AG15" s="157"/>
      <c r="AH15" s="159"/>
      <c r="AI15" s="35">
        <f t="shared" si="5"/>
        <v>0</v>
      </c>
      <c r="AJ15" s="11">
        <f t="shared" si="6"/>
        <v>25000000</v>
      </c>
      <c r="AK15" s="11">
        <f t="shared" si="7"/>
        <v>25000000</v>
      </c>
      <c r="AL15" s="11">
        <f t="shared" si="8"/>
        <v>0</v>
      </c>
      <c r="AM15" s="76">
        <f t="shared" si="9"/>
        <v>0</v>
      </c>
      <c r="AN15" s="51">
        <f t="shared" si="13"/>
        <v>50000000</v>
      </c>
      <c r="AO15" s="36"/>
      <c r="AP15" s="9"/>
      <c r="AQ15" s="9"/>
      <c r="AR15" s="9"/>
      <c r="AS15" s="9"/>
      <c r="AT15" s="9"/>
      <c r="AU15" s="9"/>
      <c r="AV15" s="9">
        <f t="shared" si="14"/>
        <v>0</v>
      </c>
      <c r="AW15" s="10">
        <f t="shared" si="3"/>
        <v>0</v>
      </c>
      <c r="AY15" s="11">
        <f t="shared" si="2"/>
        <v>0</v>
      </c>
    </row>
    <row r="16" spans="5:51" ht="60" customHeight="1" x14ac:dyDescent="0.2">
      <c r="E16" s="151">
        <f t="shared" si="10"/>
        <v>20104</v>
      </c>
      <c r="F16" s="170" t="s">
        <v>307</v>
      </c>
      <c r="G16" s="156"/>
      <c r="H16" s="157"/>
      <c r="I16" s="158"/>
      <c r="J16" s="159"/>
      <c r="K16" s="158">
        <v>450000</v>
      </c>
      <c r="L16" s="159">
        <v>450000</v>
      </c>
      <c r="M16" s="158"/>
      <c r="N16" s="159"/>
      <c r="O16" s="158">
        <v>500000</v>
      </c>
      <c r="P16" s="159"/>
      <c r="Q16" s="165">
        <f t="shared" si="11"/>
        <v>500000</v>
      </c>
      <c r="R16" s="166">
        <f t="shared" si="11"/>
        <v>0</v>
      </c>
      <c r="S16" s="156">
        <v>0</v>
      </c>
      <c r="T16" s="160"/>
      <c r="U16" s="164">
        <f>S16</f>
        <v>0</v>
      </c>
      <c r="V16" s="161">
        <v>500000</v>
      </c>
      <c r="W16" s="158">
        <v>0</v>
      </c>
      <c r="X16" s="160"/>
      <c r="Y16" s="160">
        <f>W16</f>
        <v>0</v>
      </c>
      <c r="Z16" s="160"/>
      <c r="AA16" s="160"/>
      <c r="AB16" s="159"/>
      <c r="AC16" s="158">
        <f t="shared" si="12"/>
        <v>500000</v>
      </c>
      <c r="AD16" s="160"/>
      <c r="AE16" s="160"/>
      <c r="AF16" s="157"/>
      <c r="AG16" s="157">
        <f>AC16</f>
        <v>500000</v>
      </c>
      <c r="AH16" s="159"/>
      <c r="AI16" s="35">
        <f t="shared" si="5"/>
        <v>0</v>
      </c>
      <c r="AJ16" s="11">
        <f t="shared" si="6"/>
        <v>0</v>
      </c>
      <c r="AK16" s="11">
        <f t="shared" si="7"/>
        <v>0</v>
      </c>
      <c r="AL16" s="11">
        <f t="shared" si="8"/>
        <v>500000</v>
      </c>
      <c r="AM16" s="76">
        <f t="shared" si="9"/>
        <v>0</v>
      </c>
      <c r="AN16" s="51">
        <f t="shared" si="13"/>
        <v>500000</v>
      </c>
      <c r="AO16" s="36"/>
      <c r="AP16" s="9"/>
      <c r="AQ16" s="9"/>
      <c r="AR16" s="9"/>
      <c r="AS16" s="9"/>
      <c r="AT16" s="9"/>
      <c r="AU16" s="9"/>
      <c r="AV16" s="9">
        <f t="shared" si="14"/>
        <v>0</v>
      </c>
      <c r="AW16" s="10">
        <f t="shared" si="3"/>
        <v>0</v>
      </c>
      <c r="AY16" s="11">
        <f t="shared" si="2"/>
        <v>0</v>
      </c>
    </row>
    <row r="17" spans="5:51" ht="60" customHeight="1" x14ac:dyDescent="0.2">
      <c r="E17" s="151">
        <f t="shared" si="10"/>
        <v>20105</v>
      </c>
      <c r="F17" s="170" t="s">
        <v>334</v>
      </c>
      <c r="G17" s="156"/>
      <c r="H17" s="157"/>
      <c r="I17" s="158"/>
      <c r="J17" s="159"/>
      <c r="K17" s="158">
        <v>1000000</v>
      </c>
      <c r="L17" s="159">
        <v>1000000</v>
      </c>
      <c r="M17" s="158">
        <v>10000000</v>
      </c>
      <c r="N17" s="159">
        <v>10000000</v>
      </c>
      <c r="O17" s="158">
        <v>20000000</v>
      </c>
      <c r="P17" s="159">
        <v>10000000</v>
      </c>
      <c r="Q17" s="165">
        <f t="shared" si="11"/>
        <v>10000000</v>
      </c>
      <c r="R17" s="166">
        <f t="shared" si="11"/>
        <v>0</v>
      </c>
      <c r="S17" s="156">
        <v>12013053</v>
      </c>
      <c r="T17" s="160"/>
      <c r="U17" s="164">
        <f>S17</f>
        <v>12013053</v>
      </c>
      <c r="V17" s="161">
        <v>20000000</v>
      </c>
      <c r="W17" s="158">
        <v>15000000</v>
      </c>
      <c r="X17" s="160"/>
      <c r="Y17" s="160">
        <f>W17</f>
        <v>15000000</v>
      </c>
      <c r="Z17" s="160"/>
      <c r="AA17" s="160"/>
      <c r="AB17" s="159"/>
      <c r="AC17" s="158">
        <f t="shared" si="12"/>
        <v>5000000</v>
      </c>
      <c r="AD17" s="160"/>
      <c r="AE17" s="160">
        <f>AC17</f>
        <v>5000000</v>
      </c>
      <c r="AF17" s="157"/>
      <c r="AG17" s="157"/>
      <c r="AH17" s="159"/>
      <c r="AI17" s="35">
        <f t="shared" si="5"/>
        <v>0</v>
      </c>
      <c r="AJ17" s="11">
        <f t="shared" si="6"/>
        <v>20000000</v>
      </c>
      <c r="AK17" s="11">
        <f t="shared" si="7"/>
        <v>0</v>
      </c>
      <c r="AL17" s="11">
        <f t="shared" si="8"/>
        <v>0</v>
      </c>
      <c r="AM17" s="76">
        <f t="shared" si="9"/>
        <v>0</v>
      </c>
      <c r="AN17" s="51">
        <f t="shared" si="13"/>
        <v>20000000</v>
      </c>
      <c r="AO17" s="36"/>
      <c r="AP17" s="9"/>
      <c r="AQ17" s="9"/>
      <c r="AR17" s="9"/>
      <c r="AS17" s="9"/>
      <c r="AT17" s="9"/>
      <c r="AU17" s="9"/>
      <c r="AV17" s="9">
        <f t="shared" si="14"/>
        <v>0</v>
      </c>
      <c r="AW17" s="10">
        <f t="shared" si="3"/>
        <v>0</v>
      </c>
      <c r="AY17" s="11">
        <f t="shared" si="2"/>
        <v>0</v>
      </c>
    </row>
    <row r="18" spans="5:51" ht="60" customHeight="1" x14ac:dyDescent="0.2">
      <c r="E18" s="151">
        <f t="shared" si="10"/>
        <v>20106</v>
      </c>
      <c r="F18" s="170" t="s">
        <v>273</v>
      </c>
      <c r="G18" s="156">
        <v>2000000</v>
      </c>
      <c r="H18" s="157">
        <v>2000000</v>
      </c>
      <c r="I18" s="158">
        <v>1000000</v>
      </c>
      <c r="J18" s="159">
        <f>I18</f>
        <v>1000000</v>
      </c>
      <c r="K18" s="158">
        <f>950000-300000</f>
        <v>650000</v>
      </c>
      <c r="L18" s="159">
        <v>620000</v>
      </c>
      <c r="M18" s="158">
        <v>1000000</v>
      </c>
      <c r="N18" s="159">
        <f>M18</f>
        <v>1000000</v>
      </c>
      <c r="O18" s="158">
        <v>4000000</v>
      </c>
      <c r="P18" s="159">
        <v>3896000</v>
      </c>
      <c r="Q18" s="165">
        <f t="shared" si="11"/>
        <v>3000000</v>
      </c>
      <c r="R18" s="166">
        <f t="shared" si="11"/>
        <v>2896000</v>
      </c>
      <c r="S18" s="156">
        <v>4793873</v>
      </c>
      <c r="T18" s="160"/>
      <c r="U18" s="164">
        <f>S18</f>
        <v>4793873</v>
      </c>
      <c r="V18" s="161">
        <v>4000000</v>
      </c>
      <c r="W18" s="158">
        <v>3000000</v>
      </c>
      <c r="X18" s="160"/>
      <c r="Y18" s="160"/>
      <c r="Z18" s="160"/>
      <c r="AA18" s="160"/>
      <c r="AB18" s="159">
        <f>W18</f>
        <v>3000000</v>
      </c>
      <c r="AC18" s="158">
        <f t="shared" si="12"/>
        <v>1000000</v>
      </c>
      <c r="AD18" s="160"/>
      <c r="AE18" s="160"/>
      <c r="AF18" s="157"/>
      <c r="AG18" s="157"/>
      <c r="AH18" s="159">
        <f>AC18</f>
        <v>1000000</v>
      </c>
      <c r="AI18" s="35">
        <f t="shared" si="5"/>
        <v>0</v>
      </c>
      <c r="AJ18" s="11">
        <f t="shared" si="6"/>
        <v>0</v>
      </c>
      <c r="AK18" s="11">
        <f t="shared" si="7"/>
        <v>0</v>
      </c>
      <c r="AL18" s="11">
        <f t="shared" si="8"/>
        <v>0</v>
      </c>
      <c r="AM18" s="76">
        <f t="shared" si="9"/>
        <v>4000000</v>
      </c>
      <c r="AN18" s="51">
        <f t="shared" si="13"/>
        <v>4000000</v>
      </c>
      <c r="AO18" s="36"/>
      <c r="AP18" s="9"/>
      <c r="AQ18" s="9"/>
      <c r="AR18" s="9"/>
      <c r="AS18" s="9"/>
      <c r="AT18" s="9"/>
      <c r="AU18" s="9"/>
      <c r="AV18" s="9">
        <f t="shared" si="14"/>
        <v>0</v>
      </c>
      <c r="AW18" s="10">
        <f t="shared" si="3"/>
        <v>0</v>
      </c>
      <c r="AY18" s="11">
        <f t="shared" si="2"/>
        <v>0</v>
      </c>
    </row>
    <row r="19" spans="5:51" ht="60" customHeight="1" x14ac:dyDescent="0.2">
      <c r="E19" s="151">
        <f t="shared" si="10"/>
        <v>20107</v>
      </c>
      <c r="F19" s="170" t="s">
        <v>426</v>
      </c>
      <c r="G19" s="156"/>
      <c r="H19" s="157"/>
      <c r="I19" s="158"/>
      <c r="J19" s="159"/>
      <c r="K19" s="158"/>
      <c r="L19" s="159"/>
      <c r="M19" s="158"/>
      <c r="N19" s="159"/>
      <c r="O19" s="158"/>
      <c r="P19" s="159"/>
      <c r="Q19" s="165"/>
      <c r="R19" s="166"/>
      <c r="S19" s="156"/>
      <c r="T19" s="156"/>
      <c r="U19" s="171"/>
      <c r="V19" s="161">
        <v>2000000</v>
      </c>
      <c r="W19" s="158">
        <v>0</v>
      </c>
      <c r="X19" s="160"/>
      <c r="Y19" s="160"/>
      <c r="Z19" s="160">
        <f>W19</f>
        <v>0</v>
      </c>
      <c r="AA19" s="160"/>
      <c r="AB19" s="159"/>
      <c r="AC19" s="158">
        <f t="shared" si="12"/>
        <v>2000000</v>
      </c>
      <c r="AD19" s="160"/>
      <c r="AE19" s="160">
        <f>AC19</f>
        <v>2000000</v>
      </c>
      <c r="AF19" s="157"/>
      <c r="AG19" s="157"/>
      <c r="AH19" s="159"/>
      <c r="AI19" s="35">
        <f t="shared" si="5"/>
        <v>0</v>
      </c>
      <c r="AJ19" s="11">
        <f t="shared" si="6"/>
        <v>2000000</v>
      </c>
      <c r="AK19" s="11">
        <f t="shared" si="7"/>
        <v>0</v>
      </c>
      <c r="AL19" s="11">
        <f t="shared" si="8"/>
        <v>0</v>
      </c>
      <c r="AM19" s="76">
        <f t="shared" si="9"/>
        <v>0</v>
      </c>
      <c r="AN19" s="51">
        <f t="shared" si="13"/>
        <v>2000000</v>
      </c>
      <c r="AO19" s="36"/>
      <c r="AP19" s="9"/>
      <c r="AQ19" s="9"/>
      <c r="AR19" s="9"/>
      <c r="AS19" s="9"/>
      <c r="AT19" s="9"/>
      <c r="AU19" s="9"/>
      <c r="AV19" s="9"/>
      <c r="AW19" s="10"/>
      <c r="AY19" s="11">
        <f t="shared" si="2"/>
        <v>0</v>
      </c>
    </row>
    <row r="20" spans="5:51" ht="60" customHeight="1" x14ac:dyDescent="0.2">
      <c r="E20" s="151">
        <f t="shared" si="10"/>
        <v>20108</v>
      </c>
      <c r="F20" s="162" t="s">
        <v>427</v>
      </c>
      <c r="G20" s="156"/>
      <c r="H20" s="157"/>
      <c r="I20" s="158"/>
      <c r="J20" s="159"/>
      <c r="K20" s="158"/>
      <c r="L20" s="159"/>
      <c r="M20" s="158"/>
      <c r="N20" s="159"/>
      <c r="O20" s="158"/>
      <c r="P20" s="159"/>
      <c r="Q20" s="165"/>
      <c r="R20" s="166"/>
      <c r="S20" s="156"/>
      <c r="T20" s="156"/>
      <c r="U20" s="171"/>
      <c r="V20" s="161">
        <v>30000</v>
      </c>
      <c r="W20" s="158">
        <v>0</v>
      </c>
      <c r="X20" s="160"/>
      <c r="Y20" s="160">
        <f>W20</f>
        <v>0</v>
      </c>
      <c r="Z20" s="160"/>
      <c r="AA20" s="160"/>
      <c r="AB20" s="159"/>
      <c r="AC20" s="158">
        <f t="shared" si="12"/>
        <v>30000</v>
      </c>
      <c r="AD20" s="160"/>
      <c r="AE20" s="160"/>
      <c r="AF20" s="157"/>
      <c r="AG20" s="157">
        <f>AC20</f>
        <v>30000</v>
      </c>
      <c r="AH20" s="159"/>
      <c r="AI20" s="35">
        <f t="shared" si="5"/>
        <v>0</v>
      </c>
      <c r="AJ20" s="11">
        <f t="shared" si="6"/>
        <v>0</v>
      </c>
      <c r="AK20" s="11">
        <f t="shared" si="7"/>
        <v>0</v>
      </c>
      <c r="AL20" s="11">
        <f t="shared" si="8"/>
        <v>30000</v>
      </c>
      <c r="AM20" s="76">
        <f t="shared" si="9"/>
        <v>0</v>
      </c>
      <c r="AN20" s="51">
        <f t="shared" si="13"/>
        <v>30000</v>
      </c>
      <c r="AO20" s="36"/>
      <c r="AP20" s="9"/>
      <c r="AQ20" s="9"/>
      <c r="AR20" s="9"/>
      <c r="AS20" s="9"/>
      <c r="AT20" s="9"/>
      <c r="AU20" s="9"/>
      <c r="AV20" s="9"/>
      <c r="AW20" s="10"/>
      <c r="AY20" s="11">
        <f t="shared" si="2"/>
        <v>0</v>
      </c>
    </row>
    <row r="21" spans="5:51" ht="60" customHeight="1" x14ac:dyDescent="0.2">
      <c r="E21" s="151">
        <f t="shared" si="10"/>
        <v>20109</v>
      </c>
      <c r="F21" s="162" t="s">
        <v>428</v>
      </c>
      <c r="G21" s="156"/>
      <c r="H21" s="157"/>
      <c r="I21" s="158"/>
      <c r="J21" s="159"/>
      <c r="K21" s="158"/>
      <c r="L21" s="159"/>
      <c r="M21" s="158"/>
      <c r="N21" s="159"/>
      <c r="O21" s="158"/>
      <c r="P21" s="159"/>
      <c r="Q21" s="165"/>
      <c r="R21" s="166"/>
      <c r="S21" s="156"/>
      <c r="T21" s="156"/>
      <c r="U21" s="171"/>
      <c r="V21" s="161">
        <v>30000</v>
      </c>
      <c r="W21" s="158">
        <v>0</v>
      </c>
      <c r="X21" s="160"/>
      <c r="Y21" s="160">
        <f>W21</f>
        <v>0</v>
      </c>
      <c r="Z21" s="160"/>
      <c r="AA21" s="160"/>
      <c r="AB21" s="159"/>
      <c r="AC21" s="158">
        <f t="shared" si="12"/>
        <v>30000</v>
      </c>
      <c r="AD21" s="160"/>
      <c r="AE21" s="160"/>
      <c r="AF21" s="157"/>
      <c r="AG21" s="157">
        <f>AC21</f>
        <v>30000</v>
      </c>
      <c r="AH21" s="159"/>
      <c r="AI21" s="35">
        <f t="shared" si="5"/>
        <v>0</v>
      </c>
      <c r="AJ21" s="11">
        <f t="shared" si="6"/>
        <v>0</v>
      </c>
      <c r="AK21" s="11">
        <f t="shared" si="7"/>
        <v>0</v>
      </c>
      <c r="AL21" s="11">
        <f t="shared" si="8"/>
        <v>30000</v>
      </c>
      <c r="AM21" s="76">
        <f t="shared" si="9"/>
        <v>0</v>
      </c>
      <c r="AN21" s="51">
        <f t="shared" si="13"/>
        <v>30000</v>
      </c>
      <c r="AO21" s="36"/>
      <c r="AP21" s="9"/>
      <c r="AQ21" s="9"/>
      <c r="AR21" s="9"/>
      <c r="AS21" s="9"/>
      <c r="AT21" s="9"/>
      <c r="AU21" s="9"/>
      <c r="AV21" s="9"/>
      <c r="AW21" s="10"/>
      <c r="AY21" s="11">
        <f t="shared" si="2"/>
        <v>0</v>
      </c>
    </row>
    <row r="22" spans="5:51" ht="60" customHeight="1" x14ac:dyDescent="0.2">
      <c r="E22" s="149"/>
      <c r="F22" s="127" t="s">
        <v>22</v>
      </c>
      <c r="G22" s="118">
        <f t="shared" ref="G22:L22" si="15">SUM(G13:G21)</f>
        <v>24000000</v>
      </c>
      <c r="H22" s="115">
        <f t="shared" si="15"/>
        <v>4499970</v>
      </c>
      <c r="I22" s="115">
        <f t="shared" si="15"/>
        <v>18000000</v>
      </c>
      <c r="J22" s="115">
        <f t="shared" si="15"/>
        <v>2989071</v>
      </c>
      <c r="K22" s="115">
        <f t="shared" si="15"/>
        <v>19100000</v>
      </c>
      <c r="L22" s="117">
        <f t="shared" si="15"/>
        <v>5792279</v>
      </c>
      <c r="M22" s="115">
        <f t="shared" ref="M22:R22" si="16">SUM(M13:M18)</f>
        <v>39000000</v>
      </c>
      <c r="N22" s="117">
        <f t="shared" si="16"/>
        <v>28539438</v>
      </c>
      <c r="O22" s="115">
        <f t="shared" si="16"/>
        <v>47500000</v>
      </c>
      <c r="P22" s="117">
        <f t="shared" si="16"/>
        <v>24056500</v>
      </c>
      <c r="Q22" s="115">
        <f t="shared" si="16"/>
        <v>8500000</v>
      </c>
      <c r="R22" s="117">
        <f t="shared" si="16"/>
        <v>-4482938</v>
      </c>
      <c r="S22" s="118">
        <f>SUM(S13:S21)</f>
        <v>31880455</v>
      </c>
      <c r="T22" s="118">
        <f>SUM(T13:T18)</f>
        <v>0</v>
      </c>
      <c r="U22" s="118">
        <f t="shared" ref="U22:AN22" si="17">SUM(U13:U21)</f>
        <v>31880455</v>
      </c>
      <c r="V22" s="119">
        <f t="shared" si="17"/>
        <v>79560000</v>
      </c>
      <c r="W22" s="115">
        <f t="shared" si="17"/>
        <v>70000000</v>
      </c>
      <c r="X22" s="120">
        <f t="shared" si="17"/>
        <v>0</v>
      </c>
      <c r="Y22" s="120">
        <f t="shared" si="17"/>
        <v>42000000</v>
      </c>
      <c r="Z22" s="120">
        <f t="shared" si="17"/>
        <v>25000000</v>
      </c>
      <c r="AA22" s="120">
        <f t="shared" si="17"/>
        <v>0</v>
      </c>
      <c r="AB22" s="117">
        <f t="shared" si="17"/>
        <v>3000000</v>
      </c>
      <c r="AC22" s="115">
        <f t="shared" si="17"/>
        <v>9560000</v>
      </c>
      <c r="AD22" s="120">
        <f t="shared" si="17"/>
        <v>0</v>
      </c>
      <c r="AE22" s="120">
        <f t="shared" si="17"/>
        <v>7000000</v>
      </c>
      <c r="AF22" s="116">
        <f t="shared" si="17"/>
        <v>0</v>
      </c>
      <c r="AG22" s="116">
        <f t="shared" si="17"/>
        <v>1560000</v>
      </c>
      <c r="AH22" s="117">
        <f t="shared" si="17"/>
        <v>1000000</v>
      </c>
      <c r="AI22" s="47">
        <f t="shared" si="17"/>
        <v>0</v>
      </c>
      <c r="AJ22" s="10">
        <f t="shared" si="17"/>
        <v>49000000</v>
      </c>
      <c r="AK22" s="10">
        <f t="shared" si="17"/>
        <v>25000000</v>
      </c>
      <c r="AL22" s="10">
        <f t="shared" si="17"/>
        <v>1560000</v>
      </c>
      <c r="AM22" s="48">
        <f t="shared" si="17"/>
        <v>4000000</v>
      </c>
      <c r="AN22" s="52">
        <f t="shared" si="17"/>
        <v>79560000</v>
      </c>
      <c r="AO22" s="39">
        <f t="shared" ref="AO22:AV22" si="18">SUM(AO13:AO18)</f>
        <v>0</v>
      </c>
      <c r="AP22" s="10">
        <f t="shared" si="18"/>
        <v>0</v>
      </c>
      <c r="AQ22" s="10">
        <f t="shared" si="18"/>
        <v>0</v>
      </c>
      <c r="AR22" s="10">
        <f t="shared" si="18"/>
        <v>0</v>
      </c>
      <c r="AS22" s="10">
        <f t="shared" si="18"/>
        <v>0</v>
      </c>
      <c r="AT22" s="10">
        <f t="shared" si="18"/>
        <v>0</v>
      </c>
      <c r="AU22" s="10">
        <f t="shared" si="18"/>
        <v>0</v>
      </c>
      <c r="AV22" s="10">
        <f t="shared" si="18"/>
        <v>0</v>
      </c>
      <c r="AW22" s="10">
        <f t="shared" si="3"/>
        <v>0</v>
      </c>
      <c r="AY22" s="11">
        <f t="shared" si="2"/>
        <v>0</v>
      </c>
    </row>
    <row r="23" spans="5:51" ht="60" customHeight="1" x14ac:dyDescent="0.2">
      <c r="E23" s="151">
        <v>20200</v>
      </c>
      <c r="F23" s="155" t="s">
        <v>23</v>
      </c>
      <c r="G23" s="156"/>
      <c r="H23" s="157"/>
      <c r="I23" s="158"/>
      <c r="J23" s="159"/>
      <c r="K23" s="158"/>
      <c r="L23" s="159"/>
      <c r="M23" s="158"/>
      <c r="N23" s="159"/>
      <c r="O23" s="158"/>
      <c r="P23" s="159"/>
      <c r="Q23" s="158"/>
      <c r="R23" s="159"/>
      <c r="S23" s="156"/>
      <c r="T23" s="160"/>
      <c r="U23" s="164"/>
      <c r="V23" s="161"/>
      <c r="W23" s="158"/>
      <c r="X23" s="160"/>
      <c r="Y23" s="160"/>
      <c r="Z23" s="160"/>
      <c r="AA23" s="160"/>
      <c r="AB23" s="159"/>
      <c r="AC23" s="158"/>
      <c r="AD23" s="160"/>
      <c r="AE23" s="160"/>
      <c r="AF23" s="157"/>
      <c r="AG23" s="157"/>
      <c r="AH23" s="159"/>
      <c r="AI23" s="45"/>
      <c r="AJ23" s="9"/>
      <c r="AK23" s="9"/>
      <c r="AL23" s="9"/>
      <c r="AM23" s="46"/>
      <c r="AN23" s="50"/>
      <c r="AO23" s="36"/>
      <c r="AP23" s="9"/>
      <c r="AQ23" s="9"/>
      <c r="AR23" s="9"/>
      <c r="AS23" s="9"/>
      <c r="AT23" s="9"/>
      <c r="AU23" s="9"/>
      <c r="AV23" s="9"/>
      <c r="AW23" s="10">
        <f t="shared" si="3"/>
        <v>0</v>
      </c>
      <c r="AY23" s="11">
        <f t="shared" si="2"/>
        <v>0</v>
      </c>
    </row>
    <row r="24" spans="5:51" ht="60" customHeight="1" x14ac:dyDescent="0.2">
      <c r="E24" s="151">
        <f>E23+1</f>
        <v>20201</v>
      </c>
      <c r="F24" s="170" t="s">
        <v>390</v>
      </c>
      <c r="G24" s="156">
        <v>2500000</v>
      </c>
      <c r="H24" s="157">
        <v>2500000</v>
      </c>
      <c r="I24" s="158">
        <v>250000</v>
      </c>
      <c r="J24" s="159">
        <v>0</v>
      </c>
      <c r="K24" s="158"/>
      <c r="L24" s="159"/>
      <c r="M24" s="158">
        <v>500000</v>
      </c>
      <c r="N24" s="159">
        <v>500000</v>
      </c>
      <c r="O24" s="158">
        <v>7695000</v>
      </c>
      <c r="P24" s="159">
        <v>1700000</v>
      </c>
      <c r="Q24" s="165">
        <f t="shared" ref="Q24:R26" si="19">O24-M24</f>
        <v>7195000</v>
      </c>
      <c r="R24" s="166">
        <f t="shared" si="19"/>
        <v>1200000</v>
      </c>
      <c r="S24" s="156">
        <v>8074150</v>
      </c>
      <c r="T24" s="160"/>
      <c r="U24" s="164">
        <f>S24</f>
        <v>8074150</v>
      </c>
      <c r="V24" s="161">
        <v>4950000</v>
      </c>
      <c r="W24" s="158">
        <f>V24/2</f>
        <v>2475000</v>
      </c>
      <c r="X24" s="160"/>
      <c r="Y24" s="160">
        <f>W24</f>
        <v>2475000</v>
      </c>
      <c r="Z24" s="160"/>
      <c r="AA24" s="160"/>
      <c r="AB24" s="159"/>
      <c r="AC24" s="158">
        <f>V24-W24</f>
        <v>2475000</v>
      </c>
      <c r="AD24" s="160"/>
      <c r="AE24" s="160">
        <f>AC24</f>
        <v>2475000</v>
      </c>
      <c r="AF24" s="157"/>
      <c r="AG24" s="157"/>
      <c r="AH24" s="159"/>
      <c r="AI24" s="35">
        <f t="shared" ref="AI24:AM27" si="20">AD24+X24</f>
        <v>0</v>
      </c>
      <c r="AJ24" s="11">
        <f t="shared" si="20"/>
        <v>4950000</v>
      </c>
      <c r="AK24" s="11">
        <f t="shared" si="20"/>
        <v>0</v>
      </c>
      <c r="AL24" s="11">
        <f t="shared" si="20"/>
        <v>0</v>
      </c>
      <c r="AM24" s="76">
        <f t="shared" si="20"/>
        <v>0</v>
      </c>
      <c r="AN24" s="51">
        <f>SUM(AJ24:AM24)</f>
        <v>4950000</v>
      </c>
      <c r="AO24" s="36"/>
      <c r="AP24" s="9"/>
      <c r="AQ24" s="9"/>
      <c r="AR24" s="9"/>
      <c r="AS24" s="9"/>
      <c r="AT24" s="9"/>
      <c r="AU24" s="9"/>
      <c r="AV24" s="9">
        <f>AU24+AT24+AS24+AR24</f>
        <v>0</v>
      </c>
      <c r="AW24" s="10">
        <f t="shared" si="3"/>
        <v>0</v>
      </c>
      <c r="AY24" s="11">
        <f t="shared" si="2"/>
        <v>0</v>
      </c>
    </row>
    <row r="25" spans="5:51" ht="60" customHeight="1" x14ac:dyDescent="0.2">
      <c r="E25" s="151">
        <f>E24+1</f>
        <v>20202</v>
      </c>
      <c r="F25" s="170" t="s">
        <v>391</v>
      </c>
      <c r="G25" s="156">
        <v>1050000</v>
      </c>
      <c r="H25" s="157">
        <v>777000</v>
      </c>
      <c r="I25" s="158"/>
      <c r="J25" s="159"/>
      <c r="K25" s="158">
        <v>500000</v>
      </c>
      <c r="L25" s="159">
        <v>183000</v>
      </c>
      <c r="M25" s="158">
        <v>50000</v>
      </c>
      <c r="N25" s="159">
        <v>90000</v>
      </c>
      <c r="O25" s="158">
        <v>1675802</v>
      </c>
      <c r="P25" s="159">
        <v>1375802</v>
      </c>
      <c r="Q25" s="165">
        <f t="shared" si="19"/>
        <v>1625802</v>
      </c>
      <c r="R25" s="166">
        <f t="shared" si="19"/>
        <v>1285802</v>
      </c>
      <c r="S25" s="156">
        <v>3757102</v>
      </c>
      <c r="T25" s="160"/>
      <c r="U25" s="164">
        <f>S25</f>
        <v>3757102</v>
      </c>
      <c r="V25" s="161">
        <v>2500000</v>
      </c>
      <c r="W25" s="158">
        <f>V25/2</f>
        <v>1250000</v>
      </c>
      <c r="X25" s="160"/>
      <c r="Y25" s="160">
        <f>W25</f>
        <v>1250000</v>
      </c>
      <c r="Z25" s="160"/>
      <c r="AA25" s="160"/>
      <c r="AB25" s="159"/>
      <c r="AC25" s="158">
        <f>V25-W25</f>
        <v>1250000</v>
      </c>
      <c r="AD25" s="160"/>
      <c r="AE25" s="160">
        <f>AC25</f>
        <v>1250000</v>
      </c>
      <c r="AF25" s="157"/>
      <c r="AG25" s="157"/>
      <c r="AH25" s="159"/>
      <c r="AI25" s="35">
        <f t="shared" si="20"/>
        <v>0</v>
      </c>
      <c r="AJ25" s="11">
        <f t="shared" si="20"/>
        <v>2500000</v>
      </c>
      <c r="AK25" s="11">
        <f t="shared" si="20"/>
        <v>0</v>
      </c>
      <c r="AL25" s="11">
        <f t="shared" si="20"/>
        <v>0</v>
      </c>
      <c r="AM25" s="76">
        <f t="shared" si="20"/>
        <v>0</v>
      </c>
      <c r="AN25" s="51">
        <f>SUM(AJ25:AM25)</f>
        <v>2500000</v>
      </c>
      <c r="AO25" s="36"/>
      <c r="AP25" s="9"/>
      <c r="AQ25" s="9"/>
      <c r="AR25" s="9"/>
      <c r="AS25" s="9"/>
      <c r="AT25" s="9"/>
      <c r="AU25" s="9"/>
      <c r="AV25" s="9">
        <f>AU25+AT25+AS25+AR25</f>
        <v>0</v>
      </c>
      <c r="AW25" s="10">
        <f>AP25-AQ25-AV25</f>
        <v>0</v>
      </c>
      <c r="AY25" s="11">
        <f t="shared" si="2"/>
        <v>0</v>
      </c>
    </row>
    <row r="26" spans="5:51" ht="60" customHeight="1" x14ac:dyDescent="0.2">
      <c r="E26" s="151">
        <f>E25+1</f>
        <v>20203</v>
      </c>
      <c r="F26" s="170" t="s">
        <v>392</v>
      </c>
      <c r="G26" s="156">
        <v>350000</v>
      </c>
      <c r="H26" s="157">
        <v>0</v>
      </c>
      <c r="I26" s="158">
        <v>100000</v>
      </c>
      <c r="J26" s="159">
        <v>100000</v>
      </c>
      <c r="K26" s="158"/>
      <c r="L26" s="159"/>
      <c r="M26" s="158"/>
      <c r="N26" s="159"/>
      <c r="O26" s="158">
        <v>650000</v>
      </c>
      <c r="P26" s="159">
        <v>250000</v>
      </c>
      <c r="Q26" s="165">
        <f t="shared" si="19"/>
        <v>650000</v>
      </c>
      <c r="R26" s="166">
        <f t="shared" si="19"/>
        <v>250000</v>
      </c>
      <c r="S26" s="156">
        <v>696439</v>
      </c>
      <c r="T26" s="160"/>
      <c r="U26" s="164">
        <f>S26</f>
        <v>696439</v>
      </c>
      <c r="V26" s="161">
        <v>700000</v>
      </c>
      <c r="W26" s="158">
        <f>V26/2</f>
        <v>350000</v>
      </c>
      <c r="X26" s="160"/>
      <c r="Y26" s="160">
        <f>W26</f>
        <v>350000</v>
      </c>
      <c r="Z26" s="160"/>
      <c r="AA26" s="160"/>
      <c r="AB26" s="159"/>
      <c r="AC26" s="158">
        <f>V26-W26</f>
        <v>350000</v>
      </c>
      <c r="AD26" s="160"/>
      <c r="AE26" s="160">
        <f>AC26</f>
        <v>350000</v>
      </c>
      <c r="AF26" s="157"/>
      <c r="AG26" s="157"/>
      <c r="AH26" s="159"/>
      <c r="AI26" s="35">
        <f t="shared" si="20"/>
        <v>0</v>
      </c>
      <c r="AJ26" s="11">
        <f t="shared" si="20"/>
        <v>700000</v>
      </c>
      <c r="AK26" s="11">
        <f t="shared" si="20"/>
        <v>0</v>
      </c>
      <c r="AL26" s="11">
        <f t="shared" si="20"/>
        <v>0</v>
      </c>
      <c r="AM26" s="76">
        <f t="shared" si="20"/>
        <v>0</v>
      </c>
      <c r="AN26" s="51">
        <f>SUM(AJ26:AM26)</f>
        <v>700000</v>
      </c>
      <c r="AO26" s="36"/>
      <c r="AP26" s="9"/>
      <c r="AQ26" s="9"/>
      <c r="AR26" s="9"/>
      <c r="AS26" s="9"/>
      <c r="AT26" s="9"/>
      <c r="AU26" s="9"/>
      <c r="AV26" s="9">
        <f>AU26+AT26+AS26+AR26</f>
        <v>0</v>
      </c>
      <c r="AW26" s="10">
        <f>AP26-AQ26-AV26</f>
        <v>0</v>
      </c>
      <c r="AY26" s="11">
        <f t="shared" si="2"/>
        <v>0</v>
      </c>
    </row>
    <row r="27" spans="5:51" ht="60" customHeight="1" x14ac:dyDescent="0.2">
      <c r="E27" s="151">
        <f>E26+1</f>
        <v>20204</v>
      </c>
      <c r="F27" s="170" t="s">
        <v>425</v>
      </c>
      <c r="G27" s="156"/>
      <c r="H27" s="157"/>
      <c r="I27" s="158"/>
      <c r="J27" s="159"/>
      <c r="K27" s="158">
        <v>50000</v>
      </c>
      <c r="L27" s="159">
        <v>0</v>
      </c>
      <c r="M27" s="158"/>
      <c r="N27" s="159"/>
      <c r="O27" s="158"/>
      <c r="P27" s="159"/>
      <c r="Q27" s="165"/>
      <c r="R27" s="166"/>
      <c r="S27" s="156"/>
      <c r="T27" s="160"/>
      <c r="U27" s="164"/>
      <c r="V27" s="161">
        <v>3200000</v>
      </c>
      <c r="W27" s="158">
        <v>1000000</v>
      </c>
      <c r="X27" s="160"/>
      <c r="Y27" s="160">
        <f>W27</f>
        <v>1000000</v>
      </c>
      <c r="Z27" s="160"/>
      <c r="AA27" s="160"/>
      <c r="AB27" s="159"/>
      <c r="AC27" s="158">
        <f>V27-W27</f>
        <v>2200000</v>
      </c>
      <c r="AD27" s="160"/>
      <c r="AE27" s="160">
        <f>AC27</f>
        <v>2200000</v>
      </c>
      <c r="AF27" s="157"/>
      <c r="AG27" s="157"/>
      <c r="AH27" s="159"/>
      <c r="AI27" s="35">
        <f t="shared" si="20"/>
        <v>0</v>
      </c>
      <c r="AJ27" s="11">
        <f t="shared" si="20"/>
        <v>3200000</v>
      </c>
      <c r="AK27" s="11">
        <f t="shared" si="20"/>
        <v>0</v>
      </c>
      <c r="AL27" s="11">
        <f t="shared" si="20"/>
        <v>0</v>
      </c>
      <c r="AM27" s="76">
        <f t="shared" si="20"/>
        <v>0</v>
      </c>
      <c r="AN27" s="51"/>
      <c r="AO27" s="36"/>
      <c r="AP27" s="9"/>
      <c r="AQ27" s="9"/>
      <c r="AR27" s="9"/>
      <c r="AS27" s="9"/>
      <c r="AT27" s="9"/>
      <c r="AU27" s="9"/>
      <c r="AV27" s="9"/>
      <c r="AW27" s="10"/>
      <c r="AY27" s="11"/>
    </row>
    <row r="28" spans="5:51" ht="60" customHeight="1" x14ac:dyDescent="0.2">
      <c r="E28" s="149"/>
      <c r="F28" s="127" t="s">
        <v>24</v>
      </c>
      <c r="G28" s="118">
        <f t="shared" ref="G28:AV28" si="21">SUM(G24:G27)</f>
        <v>3900000</v>
      </c>
      <c r="H28" s="116">
        <f t="shared" si="21"/>
        <v>3277000</v>
      </c>
      <c r="I28" s="115">
        <f t="shared" si="21"/>
        <v>350000</v>
      </c>
      <c r="J28" s="117">
        <f t="shared" si="21"/>
        <v>100000</v>
      </c>
      <c r="K28" s="115">
        <f t="shared" si="21"/>
        <v>550000</v>
      </c>
      <c r="L28" s="117">
        <f t="shared" si="21"/>
        <v>183000</v>
      </c>
      <c r="M28" s="115">
        <f t="shared" si="21"/>
        <v>550000</v>
      </c>
      <c r="N28" s="117">
        <f t="shared" si="21"/>
        <v>590000</v>
      </c>
      <c r="O28" s="115">
        <f t="shared" si="21"/>
        <v>10020802</v>
      </c>
      <c r="P28" s="117">
        <f t="shared" si="21"/>
        <v>3325802</v>
      </c>
      <c r="Q28" s="115">
        <f t="shared" si="21"/>
        <v>9470802</v>
      </c>
      <c r="R28" s="117">
        <f t="shared" si="21"/>
        <v>2735802</v>
      </c>
      <c r="S28" s="118">
        <f t="shared" si="21"/>
        <v>12527691</v>
      </c>
      <c r="T28" s="118">
        <f t="shared" si="21"/>
        <v>0</v>
      </c>
      <c r="U28" s="118">
        <f t="shared" si="21"/>
        <v>12527691</v>
      </c>
      <c r="V28" s="119">
        <f t="shared" si="21"/>
        <v>11350000</v>
      </c>
      <c r="W28" s="115">
        <f t="shared" si="21"/>
        <v>5075000</v>
      </c>
      <c r="X28" s="120">
        <f t="shared" si="21"/>
        <v>0</v>
      </c>
      <c r="Y28" s="120">
        <f t="shared" si="21"/>
        <v>5075000</v>
      </c>
      <c r="Z28" s="120">
        <f t="shared" si="21"/>
        <v>0</v>
      </c>
      <c r="AA28" s="120">
        <f t="shared" si="21"/>
        <v>0</v>
      </c>
      <c r="AB28" s="117">
        <f t="shared" si="21"/>
        <v>0</v>
      </c>
      <c r="AC28" s="115">
        <f t="shared" si="21"/>
        <v>6275000</v>
      </c>
      <c r="AD28" s="120">
        <f t="shared" si="21"/>
        <v>0</v>
      </c>
      <c r="AE28" s="120">
        <f t="shared" si="21"/>
        <v>6275000</v>
      </c>
      <c r="AF28" s="116">
        <f t="shared" si="21"/>
        <v>0</v>
      </c>
      <c r="AG28" s="116">
        <f t="shared" si="21"/>
        <v>0</v>
      </c>
      <c r="AH28" s="117">
        <f t="shared" si="21"/>
        <v>0</v>
      </c>
      <c r="AI28" s="47">
        <f t="shared" si="21"/>
        <v>0</v>
      </c>
      <c r="AJ28" s="10">
        <f t="shared" si="21"/>
        <v>11350000</v>
      </c>
      <c r="AK28" s="10">
        <f t="shared" si="21"/>
        <v>0</v>
      </c>
      <c r="AL28" s="10">
        <f t="shared" si="21"/>
        <v>0</v>
      </c>
      <c r="AM28" s="48">
        <f t="shared" si="21"/>
        <v>0</v>
      </c>
      <c r="AN28" s="52">
        <f t="shared" si="21"/>
        <v>8150000</v>
      </c>
      <c r="AO28" s="39">
        <f t="shared" si="21"/>
        <v>0</v>
      </c>
      <c r="AP28" s="10">
        <f t="shared" si="21"/>
        <v>0</v>
      </c>
      <c r="AQ28" s="10">
        <f t="shared" si="21"/>
        <v>0</v>
      </c>
      <c r="AR28" s="10">
        <f t="shared" si="21"/>
        <v>0</v>
      </c>
      <c r="AS28" s="10">
        <f t="shared" si="21"/>
        <v>0</v>
      </c>
      <c r="AT28" s="10">
        <f t="shared" si="21"/>
        <v>0</v>
      </c>
      <c r="AU28" s="10">
        <f t="shared" si="21"/>
        <v>0</v>
      </c>
      <c r="AV28" s="10">
        <f t="shared" si="21"/>
        <v>0</v>
      </c>
      <c r="AW28" s="10">
        <f>AP28-AQ28-AV28</f>
        <v>0</v>
      </c>
      <c r="AY28" s="11">
        <f t="shared" ref="AY28:AY35" si="22">V28-W28-AC28</f>
        <v>0</v>
      </c>
    </row>
    <row r="29" spans="5:51" ht="60" customHeight="1" x14ac:dyDescent="0.2">
      <c r="E29" s="151">
        <v>20300</v>
      </c>
      <c r="F29" s="155" t="s">
        <v>25</v>
      </c>
      <c r="G29" s="156"/>
      <c r="H29" s="157"/>
      <c r="I29" s="158"/>
      <c r="J29" s="159"/>
      <c r="K29" s="158"/>
      <c r="L29" s="159"/>
      <c r="M29" s="158"/>
      <c r="N29" s="159"/>
      <c r="O29" s="158"/>
      <c r="P29" s="159"/>
      <c r="Q29" s="158"/>
      <c r="R29" s="159"/>
      <c r="S29" s="156"/>
      <c r="T29" s="160"/>
      <c r="U29" s="157"/>
      <c r="V29" s="161"/>
      <c r="W29" s="158"/>
      <c r="X29" s="160"/>
      <c r="Y29" s="160"/>
      <c r="Z29" s="160"/>
      <c r="AA29" s="160"/>
      <c r="AB29" s="159"/>
      <c r="AC29" s="158"/>
      <c r="AD29" s="160"/>
      <c r="AE29" s="160"/>
      <c r="AF29" s="157"/>
      <c r="AG29" s="157"/>
      <c r="AH29" s="159"/>
      <c r="AI29" s="45"/>
      <c r="AJ29" s="9"/>
      <c r="AK29" s="9"/>
      <c r="AL29" s="9"/>
      <c r="AM29" s="46"/>
      <c r="AN29" s="50"/>
      <c r="AO29" s="36"/>
      <c r="AP29" s="9"/>
      <c r="AQ29" s="9"/>
      <c r="AR29" s="9"/>
      <c r="AS29" s="9"/>
      <c r="AT29" s="9"/>
      <c r="AU29" s="9"/>
      <c r="AV29" s="9"/>
      <c r="AW29" s="10">
        <f>AP29-AQ29-AV29</f>
        <v>0</v>
      </c>
      <c r="AY29" s="11">
        <f t="shared" si="22"/>
        <v>0</v>
      </c>
    </row>
    <row r="30" spans="5:51" ht="60" customHeight="1" x14ac:dyDescent="0.2">
      <c r="E30" s="151">
        <f>E29+1</f>
        <v>20301</v>
      </c>
      <c r="F30" s="162" t="s">
        <v>393</v>
      </c>
      <c r="G30" s="156">
        <v>7000000</v>
      </c>
      <c r="H30" s="157">
        <v>6738550</v>
      </c>
      <c r="I30" s="158">
        <v>12100000</v>
      </c>
      <c r="J30" s="159">
        <v>11325790</v>
      </c>
      <c r="K30" s="158">
        <v>8500000</v>
      </c>
      <c r="L30" s="159">
        <v>4823901</v>
      </c>
      <c r="M30" s="158">
        <v>8000000</v>
      </c>
      <c r="N30" s="159">
        <v>3849000</v>
      </c>
      <c r="O30" s="158">
        <v>4603638</v>
      </c>
      <c r="P30" s="159">
        <v>2299638</v>
      </c>
      <c r="Q30" s="165">
        <f>O30-M30</f>
        <v>-3396362</v>
      </c>
      <c r="R30" s="166">
        <f>P30-N30</f>
        <v>-1549362</v>
      </c>
      <c r="S30" s="156">
        <v>7839700</v>
      </c>
      <c r="T30" s="160"/>
      <c r="U30" s="157">
        <f t="shared" ref="U30:U35" si="23">S30</f>
        <v>7839700</v>
      </c>
      <c r="V30" s="161">
        <v>6000000</v>
      </c>
      <c r="W30" s="158">
        <v>5000000</v>
      </c>
      <c r="X30" s="160"/>
      <c r="Y30" s="160"/>
      <c r="Z30" s="160">
        <f>W30</f>
        <v>5000000</v>
      </c>
      <c r="AA30" s="160"/>
      <c r="AB30" s="159"/>
      <c r="AC30" s="158">
        <f t="shared" ref="AC30:AC63" si="24">V30-W30</f>
        <v>1000000</v>
      </c>
      <c r="AD30" s="160"/>
      <c r="AE30" s="160"/>
      <c r="AF30" s="157">
        <f>AC30</f>
        <v>1000000</v>
      </c>
      <c r="AG30" s="157"/>
      <c r="AH30" s="159"/>
      <c r="AI30" s="35">
        <f t="shared" ref="AI30:AI66" si="25">AD30+X30</f>
        <v>0</v>
      </c>
      <c r="AJ30" s="11">
        <f t="shared" ref="AJ30:AJ66" si="26">AE30+Y30</f>
        <v>0</v>
      </c>
      <c r="AK30" s="11">
        <f t="shared" ref="AK30:AK66" si="27">AF30+Z30</f>
        <v>6000000</v>
      </c>
      <c r="AL30" s="11">
        <f t="shared" ref="AL30:AL66" si="28">AG30+AA30</f>
        <v>0</v>
      </c>
      <c r="AM30" s="76">
        <f t="shared" ref="AM30:AM66" si="29">AH30+AB30</f>
        <v>0</v>
      </c>
      <c r="AN30" s="51">
        <f t="shared" ref="AN30:AN65" si="30">SUM(AJ30:AM30)</f>
        <v>6000000</v>
      </c>
      <c r="AO30" s="36"/>
      <c r="AP30" s="9"/>
      <c r="AQ30" s="9"/>
      <c r="AR30" s="9"/>
      <c r="AS30" s="9"/>
      <c r="AT30" s="9"/>
      <c r="AU30" s="9"/>
      <c r="AV30" s="9">
        <f t="shared" ref="AV30:AV35" si="31">AU30+AT30+AS30+AR30</f>
        <v>0</v>
      </c>
      <c r="AW30" s="10"/>
      <c r="AY30" s="11">
        <f t="shared" si="22"/>
        <v>0</v>
      </c>
    </row>
    <row r="31" spans="5:51" ht="60" customHeight="1" x14ac:dyDescent="0.2">
      <c r="E31" s="151">
        <f t="shared" ref="E31:E66" si="32">E30+1</f>
        <v>20302</v>
      </c>
      <c r="F31" s="162" t="s">
        <v>26</v>
      </c>
      <c r="G31" s="156">
        <v>300000</v>
      </c>
      <c r="H31" s="157">
        <v>200000</v>
      </c>
      <c r="I31" s="158">
        <v>100000</v>
      </c>
      <c r="J31" s="159">
        <v>100000</v>
      </c>
      <c r="K31" s="158">
        <v>200000</v>
      </c>
      <c r="L31" s="159">
        <v>200000</v>
      </c>
      <c r="M31" s="158">
        <v>200000</v>
      </c>
      <c r="N31" s="159">
        <v>200000</v>
      </c>
      <c r="O31" s="158">
        <v>1000000</v>
      </c>
      <c r="P31" s="159">
        <v>200000</v>
      </c>
      <c r="Q31" s="165">
        <f t="shared" ref="Q31:R52" si="33">O31-M31</f>
        <v>800000</v>
      </c>
      <c r="R31" s="166">
        <f t="shared" si="33"/>
        <v>0</v>
      </c>
      <c r="S31" s="156">
        <v>148171</v>
      </c>
      <c r="T31" s="160"/>
      <c r="U31" s="164">
        <f t="shared" si="23"/>
        <v>148171</v>
      </c>
      <c r="V31" s="161">
        <v>1000000</v>
      </c>
      <c r="W31" s="158">
        <v>200000</v>
      </c>
      <c r="X31" s="160"/>
      <c r="Y31" s="160">
        <f>W31</f>
        <v>200000</v>
      </c>
      <c r="Z31" s="160"/>
      <c r="AA31" s="160"/>
      <c r="AB31" s="159"/>
      <c r="AC31" s="158">
        <f t="shared" si="24"/>
        <v>800000</v>
      </c>
      <c r="AD31" s="160"/>
      <c r="AE31" s="160">
        <f>AC31</f>
        <v>800000</v>
      </c>
      <c r="AF31" s="157"/>
      <c r="AG31" s="157"/>
      <c r="AH31" s="159"/>
      <c r="AI31" s="35">
        <f t="shared" si="25"/>
        <v>0</v>
      </c>
      <c r="AJ31" s="11">
        <f t="shared" si="26"/>
        <v>1000000</v>
      </c>
      <c r="AK31" s="11">
        <f t="shared" si="27"/>
        <v>0</v>
      </c>
      <c r="AL31" s="11">
        <f t="shared" si="28"/>
        <v>0</v>
      </c>
      <c r="AM31" s="76">
        <f t="shared" si="29"/>
        <v>0</v>
      </c>
      <c r="AN31" s="51">
        <f t="shared" si="30"/>
        <v>1000000</v>
      </c>
      <c r="AO31" s="36"/>
      <c r="AP31" s="9"/>
      <c r="AQ31" s="9"/>
      <c r="AR31" s="9"/>
      <c r="AS31" s="9"/>
      <c r="AT31" s="9"/>
      <c r="AU31" s="9"/>
      <c r="AV31" s="9">
        <f t="shared" si="31"/>
        <v>0</v>
      </c>
      <c r="AW31" s="10">
        <f>AP31-AQ31-AV31</f>
        <v>0</v>
      </c>
      <c r="AY31" s="11">
        <f t="shared" si="22"/>
        <v>0</v>
      </c>
    </row>
    <row r="32" spans="5:51" ht="60" customHeight="1" x14ac:dyDescent="0.2">
      <c r="E32" s="151">
        <f t="shared" si="32"/>
        <v>20303</v>
      </c>
      <c r="F32" s="170" t="s">
        <v>28</v>
      </c>
      <c r="G32" s="156"/>
      <c r="H32" s="157"/>
      <c r="I32" s="158">
        <v>3500000</v>
      </c>
      <c r="J32" s="159">
        <v>1212399</v>
      </c>
      <c r="K32" s="158">
        <v>2000000</v>
      </c>
      <c r="L32" s="159">
        <v>0</v>
      </c>
      <c r="M32" s="158">
        <v>2000000</v>
      </c>
      <c r="N32" s="159"/>
      <c r="O32" s="158">
        <v>2000000</v>
      </c>
      <c r="P32" s="159">
        <v>1420800</v>
      </c>
      <c r="Q32" s="165">
        <f t="shared" si="33"/>
        <v>0</v>
      </c>
      <c r="R32" s="166">
        <f t="shared" si="33"/>
        <v>1420800</v>
      </c>
      <c r="S32" s="156">
        <v>1420800</v>
      </c>
      <c r="T32" s="160"/>
      <c r="U32" s="164">
        <f t="shared" si="23"/>
        <v>1420800</v>
      </c>
      <c r="V32" s="161">
        <v>5000000</v>
      </c>
      <c r="W32" s="158">
        <v>0</v>
      </c>
      <c r="X32" s="160"/>
      <c r="Y32" s="160"/>
      <c r="Z32" s="160">
        <f>W32</f>
        <v>0</v>
      </c>
      <c r="AA32" s="160"/>
      <c r="AB32" s="159"/>
      <c r="AC32" s="158">
        <f t="shared" si="24"/>
        <v>5000000</v>
      </c>
      <c r="AD32" s="160"/>
      <c r="AE32" s="160"/>
      <c r="AF32" s="157">
        <f>AC32</f>
        <v>5000000</v>
      </c>
      <c r="AG32" s="157"/>
      <c r="AH32" s="159"/>
      <c r="AI32" s="35">
        <f t="shared" si="25"/>
        <v>0</v>
      </c>
      <c r="AJ32" s="11">
        <f t="shared" si="26"/>
        <v>0</v>
      </c>
      <c r="AK32" s="11">
        <f t="shared" si="27"/>
        <v>5000000</v>
      </c>
      <c r="AL32" s="11">
        <f t="shared" si="28"/>
        <v>0</v>
      </c>
      <c r="AM32" s="76">
        <f t="shared" si="29"/>
        <v>0</v>
      </c>
      <c r="AN32" s="51">
        <f t="shared" si="30"/>
        <v>5000000</v>
      </c>
      <c r="AO32" s="36"/>
      <c r="AP32" s="9"/>
      <c r="AQ32" s="9"/>
      <c r="AR32" s="9"/>
      <c r="AS32" s="9"/>
      <c r="AT32" s="9"/>
      <c r="AU32" s="9"/>
      <c r="AV32" s="9">
        <f t="shared" si="31"/>
        <v>0</v>
      </c>
      <c r="AW32" s="10">
        <f>AP32-AQ32-AV32</f>
        <v>0</v>
      </c>
      <c r="AY32" s="11">
        <f t="shared" si="22"/>
        <v>0</v>
      </c>
    </row>
    <row r="33" spans="5:51" ht="60" customHeight="1" x14ac:dyDescent="0.2">
      <c r="E33" s="151">
        <f t="shared" si="32"/>
        <v>20304</v>
      </c>
      <c r="F33" s="170" t="s">
        <v>30</v>
      </c>
      <c r="G33" s="156">
        <v>7000000</v>
      </c>
      <c r="H33" s="157">
        <v>3000000</v>
      </c>
      <c r="I33" s="158">
        <v>5000000</v>
      </c>
      <c r="J33" s="159">
        <v>4800000</v>
      </c>
      <c r="K33" s="158">
        <v>4000000</v>
      </c>
      <c r="L33" s="159">
        <v>3650000</v>
      </c>
      <c r="M33" s="158">
        <v>7000000</v>
      </c>
      <c r="N33" s="159">
        <v>7000000</v>
      </c>
      <c r="O33" s="158">
        <v>8000000</v>
      </c>
      <c r="P33" s="159">
        <v>7200000</v>
      </c>
      <c r="Q33" s="165">
        <f t="shared" si="33"/>
        <v>1000000</v>
      </c>
      <c r="R33" s="166">
        <f t="shared" si="33"/>
        <v>200000</v>
      </c>
      <c r="S33" s="156">
        <v>10222276</v>
      </c>
      <c r="T33" s="160"/>
      <c r="U33" s="164">
        <f t="shared" si="23"/>
        <v>10222276</v>
      </c>
      <c r="V33" s="161">
        <v>8000000</v>
      </c>
      <c r="W33" s="158">
        <v>0</v>
      </c>
      <c r="X33" s="160"/>
      <c r="Y33" s="160"/>
      <c r="Z33" s="160">
        <f>W33</f>
        <v>0</v>
      </c>
      <c r="AA33" s="160"/>
      <c r="AB33" s="159"/>
      <c r="AC33" s="158">
        <f t="shared" si="24"/>
        <v>8000000</v>
      </c>
      <c r="AD33" s="160"/>
      <c r="AE33" s="160"/>
      <c r="AF33" s="157">
        <f>AC33</f>
        <v>8000000</v>
      </c>
      <c r="AG33" s="157"/>
      <c r="AH33" s="159"/>
      <c r="AI33" s="35">
        <f t="shared" si="25"/>
        <v>0</v>
      </c>
      <c r="AJ33" s="11">
        <f t="shared" si="26"/>
        <v>0</v>
      </c>
      <c r="AK33" s="11">
        <f t="shared" si="27"/>
        <v>8000000</v>
      </c>
      <c r="AL33" s="11">
        <f t="shared" si="28"/>
        <v>0</v>
      </c>
      <c r="AM33" s="76">
        <f t="shared" si="29"/>
        <v>0</v>
      </c>
      <c r="AN33" s="51">
        <f t="shared" si="30"/>
        <v>8000000</v>
      </c>
      <c r="AO33" s="36"/>
      <c r="AP33" s="9"/>
      <c r="AQ33" s="9"/>
      <c r="AR33" s="9"/>
      <c r="AS33" s="9"/>
      <c r="AT33" s="9"/>
      <c r="AU33" s="9"/>
      <c r="AV33" s="9">
        <f t="shared" si="31"/>
        <v>0</v>
      </c>
      <c r="AW33" s="10">
        <f>AP33-AQ33-AV33</f>
        <v>0</v>
      </c>
      <c r="AY33" s="11">
        <f t="shared" si="22"/>
        <v>0</v>
      </c>
    </row>
    <row r="34" spans="5:51" ht="60" customHeight="1" x14ac:dyDescent="0.2">
      <c r="E34" s="151">
        <f t="shared" si="32"/>
        <v>20305</v>
      </c>
      <c r="F34" s="170" t="s">
        <v>291</v>
      </c>
      <c r="G34" s="156"/>
      <c r="H34" s="157"/>
      <c r="I34" s="158">
        <v>1750000</v>
      </c>
      <c r="J34" s="159">
        <f>125000+167000+60000+70000</f>
        <v>422000</v>
      </c>
      <c r="K34" s="158">
        <v>500000</v>
      </c>
      <c r="L34" s="159">
        <v>146000</v>
      </c>
      <c r="M34" s="158">
        <v>250000</v>
      </c>
      <c r="N34" s="159">
        <v>250000</v>
      </c>
      <c r="O34" s="158">
        <v>2850000</v>
      </c>
      <c r="P34" s="159">
        <v>2850000</v>
      </c>
      <c r="Q34" s="165">
        <f t="shared" si="33"/>
        <v>2600000</v>
      </c>
      <c r="R34" s="166">
        <f t="shared" si="33"/>
        <v>2600000</v>
      </c>
      <c r="S34" s="156">
        <v>2700519</v>
      </c>
      <c r="T34" s="160"/>
      <c r="U34" s="164">
        <f t="shared" si="23"/>
        <v>2700519</v>
      </c>
      <c r="V34" s="161">
        <v>2000000</v>
      </c>
      <c r="W34" s="158">
        <v>500000</v>
      </c>
      <c r="X34" s="160"/>
      <c r="Y34" s="160">
        <f>W34</f>
        <v>500000</v>
      </c>
      <c r="Z34" s="160"/>
      <c r="AA34" s="160"/>
      <c r="AB34" s="159"/>
      <c r="AC34" s="158">
        <f t="shared" si="24"/>
        <v>1500000</v>
      </c>
      <c r="AD34" s="160"/>
      <c r="AE34" s="160">
        <f>AC34</f>
        <v>1500000</v>
      </c>
      <c r="AF34" s="157"/>
      <c r="AG34" s="157"/>
      <c r="AH34" s="159"/>
      <c r="AI34" s="35">
        <f t="shared" si="25"/>
        <v>0</v>
      </c>
      <c r="AJ34" s="11">
        <f t="shared" si="26"/>
        <v>2000000</v>
      </c>
      <c r="AK34" s="11">
        <f t="shared" si="27"/>
        <v>0</v>
      </c>
      <c r="AL34" s="11">
        <f t="shared" si="28"/>
        <v>0</v>
      </c>
      <c r="AM34" s="76">
        <f t="shared" si="29"/>
        <v>0</v>
      </c>
      <c r="AN34" s="51">
        <f t="shared" si="30"/>
        <v>2000000</v>
      </c>
      <c r="AO34" s="36"/>
      <c r="AP34" s="9"/>
      <c r="AQ34" s="9"/>
      <c r="AR34" s="9"/>
      <c r="AS34" s="9"/>
      <c r="AT34" s="9"/>
      <c r="AU34" s="9"/>
      <c r="AV34" s="9">
        <f t="shared" si="31"/>
        <v>0</v>
      </c>
      <c r="AW34" s="10">
        <f>AP34-AQ34-AV34</f>
        <v>0</v>
      </c>
      <c r="AY34" s="11">
        <f t="shared" si="22"/>
        <v>0</v>
      </c>
    </row>
    <row r="35" spans="5:51" ht="60" customHeight="1" x14ac:dyDescent="0.2">
      <c r="E35" s="151">
        <f t="shared" si="32"/>
        <v>20306</v>
      </c>
      <c r="F35" s="170" t="s">
        <v>308</v>
      </c>
      <c r="G35" s="156"/>
      <c r="H35" s="157"/>
      <c r="I35" s="158"/>
      <c r="J35" s="159"/>
      <c r="K35" s="158"/>
      <c r="L35" s="159"/>
      <c r="M35" s="158"/>
      <c r="N35" s="159"/>
      <c r="O35" s="158">
        <v>1500000</v>
      </c>
      <c r="P35" s="159">
        <v>1500000</v>
      </c>
      <c r="Q35" s="165">
        <f t="shared" si="33"/>
        <v>1500000</v>
      </c>
      <c r="R35" s="166">
        <f t="shared" si="33"/>
        <v>1500000</v>
      </c>
      <c r="S35" s="156">
        <v>1246014</v>
      </c>
      <c r="T35" s="160"/>
      <c r="U35" s="164">
        <f t="shared" si="23"/>
        <v>1246014</v>
      </c>
      <c r="V35" s="161">
        <v>7000000</v>
      </c>
      <c r="W35" s="158">
        <f>V35</f>
        <v>7000000</v>
      </c>
      <c r="X35" s="160">
        <f>W35/2</f>
        <v>3500000</v>
      </c>
      <c r="Y35" s="160"/>
      <c r="Z35" s="160">
        <f>W35-X35</f>
        <v>3500000</v>
      </c>
      <c r="AA35" s="160"/>
      <c r="AB35" s="159"/>
      <c r="AC35" s="158">
        <f t="shared" si="24"/>
        <v>0</v>
      </c>
      <c r="AD35" s="160"/>
      <c r="AE35" s="160"/>
      <c r="AF35" s="157"/>
      <c r="AG35" s="157"/>
      <c r="AH35" s="159"/>
      <c r="AI35" s="35">
        <f t="shared" si="25"/>
        <v>3500000</v>
      </c>
      <c r="AJ35" s="11">
        <f t="shared" si="26"/>
        <v>0</v>
      </c>
      <c r="AK35" s="11">
        <f t="shared" si="27"/>
        <v>3500000</v>
      </c>
      <c r="AL35" s="11">
        <f t="shared" si="28"/>
        <v>0</v>
      </c>
      <c r="AM35" s="76">
        <f t="shared" si="29"/>
        <v>0</v>
      </c>
      <c r="AN35" s="51">
        <f t="shared" si="30"/>
        <v>3500000</v>
      </c>
      <c r="AO35" s="36"/>
      <c r="AP35" s="9"/>
      <c r="AQ35" s="9"/>
      <c r="AR35" s="9"/>
      <c r="AS35" s="9"/>
      <c r="AT35" s="9"/>
      <c r="AU35" s="9"/>
      <c r="AV35" s="9">
        <f t="shared" si="31"/>
        <v>0</v>
      </c>
      <c r="AW35" s="10">
        <f>AP35-AQ35-AV35</f>
        <v>0</v>
      </c>
      <c r="AY35" s="11">
        <f t="shared" si="22"/>
        <v>0</v>
      </c>
    </row>
    <row r="36" spans="5:51" ht="60" customHeight="1" x14ac:dyDescent="0.2">
      <c r="E36" s="151">
        <f t="shared" si="32"/>
        <v>20307</v>
      </c>
      <c r="F36" s="170" t="s">
        <v>394</v>
      </c>
      <c r="G36" s="156"/>
      <c r="H36" s="157"/>
      <c r="I36" s="158"/>
      <c r="J36" s="159"/>
      <c r="K36" s="158"/>
      <c r="L36" s="159"/>
      <c r="M36" s="158"/>
      <c r="N36" s="159"/>
      <c r="O36" s="158">
        <v>1000000</v>
      </c>
      <c r="P36" s="159">
        <v>650000</v>
      </c>
      <c r="Q36" s="165">
        <f t="shared" si="33"/>
        <v>1000000</v>
      </c>
      <c r="R36" s="166">
        <f t="shared" si="33"/>
        <v>650000</v>
      </c>
      <c r="S36" s="156">
        <v>650000</v>
      </c>
      <c r="T36" s="156"/>
      <c r="U36" s="171">
        <v>650000</v>
      </c>
      <c r="V36" s="161">
        <v>1000000</v>
      </c>
      <c r="W36" s="158">
        <v>0</v>
      </c>
      <c r="X36" s="160"/>
      <c r="Y36" s="160"/>
      <c r="Z36" s="160">
        <f t="shared" ref="Z36:Z46" si="34">W36</f>
        <v>0</v>
      </c>
      <c r="AA36" s="160"/>
      <c r="AB36" s="159"/>
      <c r="AC36" s="158">
        <f t="shared" si="24"/>
        <v>1000000</v>
      </c>
      <c r="AD36" s="160"/>
      <c r="AE36" s="160"/>
      <c r="AF36" s="157">
        <f>AC36</f>
        <v>1000000</v>
      </c>
      <c r="AG36" s="157"/>
      <c r="AH36" s="159"/>
      <c r="AI36" s="35">
        <f t="shared" si="25"/>
        <v>0</v>
      </c>
      <c r="AJ36" s="11">
        <f t="shared" si="26"/>
        <v>0</v>
      </c>
      <c r="AK36" s="11">
        <f t="shared" si="27"/>
        <v>1000000</v>
      </c>
      <c r="AL36" s="11">
        <f t="shared" si="28"/>
        <v>0</v>
      </c>
      <c r="AM36" s="76">
        <f t="shared" si="29"/>
        <v>0</v>
      </c>
      <c r="AN36" s="51">
        <f t="shared" si="30"/>
        <v>1000000</v>
      </c>
      <c r="AO36" s="36"/>
      <c r="AP36" s="9"/>
      <c r="AQ36" s="9"/>
      <c r="AR36" s="9"/>
      <c r="AS36" s="9"/>
      <c r="AT36" s="9"/>
      <c r="AU36" s="9"/>
      <c r="AV36" s="9"/>
      <c r="AW36" s="10"/>
      <c r="AY36" s="11"/>
    </row>
    <row r="37" spans="5:51" ht="60" customHeight="1" x14ac:dyDescent="0.2">
      <c r="E37" s="151">
        <f t="shared" si="32"/>
        <v>20308</v>
      </c>
      <c r="F37" s="170" t="s">
        <v>417</v>
      </c>
      <c r="G37" s="156"/>
      <c r="H37" s="157"/>
      <c r="I37" s="158"/>
      <c r="J37" s="159"/>
      <c r="K37" s="158"/>
      <c r="L37" s="159"/>
      <c r="M37" s="158"/>
      <c r="N37" s="159"/>
      <c r="O37" s="158"/>
      <c r="P37" s="159"/>
      <c r="Q37" s="165"/>
      <c r="R37" s="166"/>
      <c r="S37" s="156"/>
      <c r="T37" s="156"/>
      <c r="U37" s="171"/>
      <c r="V37" s="161">
        <v>300000</v>
      </c>
      <c r="W37" s="158">
        <v>0</v>
      </c>
      <c r="X37" s="160"/>
      <c r="Y37" s="160"/>
      <c r="Z37" s="160">
        <f t="shared" si="34"/>
        <v>0</v>
      </c>
      <c r="AA37" s="160"/>
      <c r="AB37" s="159"/>
      <c r="AC37" s="158">
        <f t="shared" si="24"/>
        <v>300000</v>
      </c>
      <c r="AD37" s="160"/>
      <c r="AE37" s="160"/>
      <c r="AF37" s="157">
        <f>AC37</f>
        <v>300000</v>
      </c>
      <c r="AG37" s="157"/>
      <c r="AH37" s="159"/>
      <c r="AI37" s="35">
        <f t="shared" si="25"/>
        <v>0</v>
      </c>
      <c r="AJ37" s="11">
        <f t="shared" si="26"/>
        <v>0</v>
      </c>
      <c r="AK37" s="11">
        <f t="shared" si="27"/>
        <v>300000</v>
      </c>
      <c r="AL37" s="11">
        <f t="shared" si="28"/>
        <v>0</v>
      </c>
      <c r="AM37" s="76">
        <f t="shared" si="29"/>
        <v>0</v>
      </c>
      <c r="AN37" s="51">
        <f t="shared" si="30"/>
        <v>300000</v>
      </c>
      <c r="AO37" s="36"/>
      <c r="AP37" s="9"/>
      <c r="AQ37" s="9"/>
      <c r="AR37" s="9"/>
      <c r="AS37" s="9"/>
      <c r="AT37" s="9"/>
      <c r="AU37" s="9"/>
      <c r="AV37" s="9"/>
      <c r="AW37" s="10"/>
      <c r="AY37" s="11"/>
    </row>
    <row r="38" spans="5:51" ht="60" customHeight="1" x14ac:dyDescent="0.2">
      <c r="E38" s="151">
        <f t="shared" si="32"/>
        <v>20309</v>
      </c>
      <c r="F38" s="170" t="s">
        <v>401</v>
      </c>
      <c r="G38" s="156"/>
      <c r="H38" s="157"/>
      <c r="I38" s="158"/>
      <c r="J38" s="159"/>
      <c r="K38" s="158"/>
      <c r="L38" s="159"/>
      <c r="M38" s="158"/>
      <c r="N38" s="159"/>
      <c r="O38" s="158">
        <v>200000</v>
      </c>
      <c r="P38" s="159"/>
      <c r="Q38" s="165">
        <f t="shared" si="33"/>
        <v>200000</v>
      </c>
      <c r="R38" s="166">
        <f t="shared" si="33"/>
        <v>0</v>
      </c>
      <c r="S38" s="156"/>
      <c r="T38" s="156"/>
      <c r="U38" s="171"/>
      <c r="V38" s="161">
        <v>300000</v>
      </c>
      <c r="W38" s="158">
        <v>300000</v>
      </c>
      <c r="X38" s="160"/>
      <c r="Y38" s="160">
        <f>W38</f>
        <v>300000</v>
      </c>
      <c r="Z38" s="160"/>
      <c r="AA38" s="160"/>
      <c r="AB38" s="159"/>
      <c r="AC38" s="158">
        <f t="shared" si="24"/>
        <v>0</v>
      </c>
      <c r="AD38" s="160"/>
      <c r="AE38" s="160"/>
      <c r="AF38" s="157"/>
      <c r="AG38" s="157"/>
      <c r="AH38" s="159"/>
      <c r="AI38" s="35">
        <f t="shared" si="25"/>
        <v>0</v>
      </c>
      <c r="AJ38" s="11">
        <f t="shared" si="26"/>
        <v>300000</v>
      </c>
      <c r="AK38" s="11">
        <f t="shared" si="27"/>
        <v>0</v>
      </c>
      <c r="AL38" s="11">
        <f t="shared" si="28"/>
        <v>0</v>
      </c>
      <c r="AM38" s="76">
        <f t="shared" si="29"/>
        <v>0</v>
      </c>
      <c r="AN38" s="51">
        <f t="shared" si="30"/>
        <v>300000</v>
      </c>
      <c r="AO38" s="36"/>
      <c r="AP38" s="9"/>
      <c r="AQ38" s="9"/>
      <c r="AR38" s="9"/>
      <c r="AS38" s="9"/>
      <c r="AT38" s="9"/>
      <c r="AU38" s="9"/>
      <c r="AV38" s="9"/>
      <c r="AW38" s="10"/>
      <c r="AY38" s="11"/>
    </row>
    <row r="39" spans="5:51" ht="60" customHeight="1" x14ac:dyDescent="0.2">
      <c r="E39" s="151">
        <f t="shared" si="32"/>
        <v>20310</v>
      </c>
      <c r="F39" s="170" t="s">
        <v>429</v>
      </c>
      <c r="G39" s="156"/>
      <c r="H39" s="157"/>
      <c r="I39" s="158"/>
      <c r="J39" s="159"/>
      <c r="K39" s="158"/>
      <c r="L39" s="159"/>
      <c r="M39" s="158"/>
      <c r="N39" s="159"/>
      <c r="O39" s="158"/>
      <c r="P39" s="159"/>
      <c r="Q39" s="165"/>
      <c r="R39" s="166"/>
      <c r="S39" s="156"/>
      <c r="T39" s="156"/>
      <c r="U39" s="171"/>
      <c r="V39" s="161">
        <v>4000000</v>
      </c>
      <c r="W39" s="158">
        <v>0</v>
      </c>
      <c r="X39" s="160"/>
      <c r="Y39" s="160"/>
      <c r="Z39" s="160">
        <f t="shared" si="34"/>
        <v>0</v>
      </c>
      <c r="AA39" s="160"/>
      <c r="AB39" s="159"/>
      <c r="AC39" s="158">
        <f t="shared" si="24"/>
        <v>4000000</v>
      </c>
      <c r="AD39" s="160"/>
      <c r="AE39" s="160">
        <f>AC39</f>
        <v>4000000</v>
      </c>
      <c r="AF39" s="157"/>
      <c r="AG39" s="157"/>
      <c r="AH39" s="159"/>
      <c r="AI39" s="35">
        <f t="shared" si="25"/>
        <v>0</v>
      </c>
      <c r="AJ39" s="11">
        <f t="shared" si="26"/>
        <v>4000000</v>
      </c>
      <c r="AK39" s="11">
        <f t="shared" si="27"/>
        <v>0</v>
      </c>
      <c r="AL39" s="11">
        <f t="shared" si="28"/>
        <v>0</v>
      </c>
      <c r="AM39" s="76">
        <f t="shared" si="29"/>
        <v>0</v>
      </c>
      <c r="AN39" s="51">
        <f t="shared" si="30"/>
        <v>4000000</v>
      </c>
      <c r="AO39" s="36"/>
      <c r="AP39" s="9"/>
      <c r="AQ39" s="9"/>
      <c r="AR39" s="9"/>
      <c r="AS39" s="9"/>
      <c r="AT39" s="9"/>
      <c r="AU39" s="9"/>
      <c r="AV39" s="9"/>
      <c r="AW39" s="10"/>
      <c r="AY39" s="11"/>
    </row>
    <row r="40" spans="5:51" ht="60" customHeight="1" x14ac:dyDescent="0.2">
      <c r="E40" s="151">
        <f t="shared" si="32"/>
        <v>20311</v>
      </c>
      <c r="F40" s="170" t="s">
        <v>402</v>
      </c>
      <c r="G40" s="156"/>
      <c r="H40" s="157"/>
      <c r="I40" s="158"/>
      <c r="J40" s="159"/>
      <c r="K40" s="158"/>
      <c r="L40" s="159"/>
      <c r="M40" s="158"/>
      <c r="N40" s="159"/>
      <c r="O40" s="158"/>
      <c r="P40" s="159"/>
      <c r="Q40" s="165">
        <f t="shared" si="33"/>
        <v>0</v>
      </c>
      <c r="R40" s="166">
        <f t="shared" si="33"/>
        <v>0</v>
      </c>
      <c r="S40" s="156"/>
      <c r="T40" s="156"/>
      <c r="U40" s="171"/>
      <c r="V40" s="161">
        <v>500000</v>
      </c>
      <c r="W40" s="158">
        <v>0</v>
      </c>
      <c r="X40" s="160"/>
      <c r="Y40" s="160"/>
      <c r="Z40" s="160">
        <f t="shared" si="34"/>
        <v>0</v>
      </c>
      <c r="AA40" s="160"/>
      <c r="AB40" s="159"/>
      <c r="AC40" s="158">
        <f t="shared" si="24"/>
        <v>500000</v>
      </c>
      <c r="AD40" s="160"/>
      <c r="AE40" s="160"/>
      <c r="AF40" s="157">
        <f>AC40</f>
        <v>500000</v>
      </c>
      <c r="AG40" s="157"/>
      <c r="AH40" s="159"/>
      <c r="AI40" s="35">
        <f t="shared" si="25"/>
        <v>0</v>
      </c>
      <c r="AJ40" s="11">
        <f t="shared" si="26"/>
        <v>0</v>
      </c>
      <c r="AK40" s="11">
        <f t="shared" si="27"/>
        <v>500000</v>
      </c>
      <c r="AL40" s="11">
        <f t="shared" si="28"/>
        <v>0</v>
      </c>
      <c r="AM40" s="76">
        <f t="shared" si="29"/>
        <v>0</v>
      </c>
      <c r="AN40" s="51">
        <f t="shared" si="30"/>
        <v>500000</v>
      </c>
      <c r="AO40" s="36"/>
      <c r="AP40" s="9"/>
      <c r="AQ40" s="9"/>
      <c r="AR40" s="9"/>
      <c r="AS40" s="9"/>
      <c r="AT40" s="9"/>
      <c r="AU40" s="9"/>
      <c r="AV40" s="9"/>
      <c r="AW40" s="10"/>
      <c r="AY40" s="11"/>
    </row>
    <row r="41" spans="5:51" ht="60" customHeight="1" x14ac:dyDescent="0.2">
      <c r="E41" s="151">
        <f t="shared" si="32"/>
        <v>20312</v>
      </c>
      <c r="F41" s="170" t="s">
        <v>403</v>
      </c>
      <c r="G41" s="156"/>
      <c r="H41" s="157"/>
      <c r="I41" s="158"/>
      <c r="J41" s="159"/>
      <c r="K41" s="158"/>
      <c r="L41" s="159"/>
      <c r="M41" s="158"/>
      <c r="N41" s="159"/>
      <c r="O41" s="158"/>
      <c r="P41" s="159"/>
      <c r="Q41" s="165">
        <f t="shared" si="33"/>
        <v>0</v>
      </c>
      <c r="R41" s="166">
        <f t="shared" si="33"/>
        <v>0</v>
      </c>
      <c r="S41" s="156"/>
      <c r="T41" s="156"/>
      <c r="U41" s="171"/>
      <c r="V41" s="161">
        <v>500000</v>
      </c>
      <c r="W41" s="158">
        <v>0</v>
      </c>
      <c r="X41" s="160"/>
      <c r="Y41" s="160"/>
      <c r="Z41" s="160">
        <f t="shared" si="34"/>
        <v>0</v>
      </c>
      <c r="AA41" s="160"/>
      <c r="AB41" s="159"/>
      <c r="AC41" s="158">
        <f t="shared" si="24"/>
        <v>500000</v>
      </c>
      <c r="AD41" s="160"/>
      <c r="AE41" s="160"/>
      <c r="AF41" s="157">
        <f>AC41</f>
        <v>500000</v>
      </c>
      <c r="AG41" s="157"/>
      <c r="AH41" s="159"/>
      <c r="AI41" s="35">
        <f t="shared" si="25"/>
        <v>0</v>
      </c>
      <c r="AJ41" s="11">
        <f t="shared" si="26"/>
        <v>0</v>
      </c>
      <c r="AK41" s="11">
        <f t="shared" si="27"/>
        <v>500000</v>
      </c>
      <c r="AL41" s="11">
        <f t="shared" si="28"/>
        <v>0</v>
      </c>
      <c r="AM41" s="76">
        <f t="shared" si="29"/>
        <v>0</v>
      </c>
      <c r="AN41" s="51">
        <f t="shared" si="30"/>
        <v>500000</v>
      </c>
      <c r="AO41" s="36"/>
      <c r="AP41" s="9"/>
      <c r="AQ41" s="9"/>
      <c r="AR41" s="9"/>
      <c r="AS41" s="9"/>
      <c r="AT41" s="9"/>
      <c r="AU41" s="9"/>
      <c r="AV41" s="9"/>
      <c r="AW41" s="10"/>
      <c r="AY41" s="11"/>
    </row>
    <row r="42" spans="5:51" ht="60" customHeight="1" x14ac:dyDescent="0.2">
      <c r="E42" s="151">
        <f t="shared" si="32"/>
        <v>20313</v>
      </c>
      <c r="F42" s="170" t="s">
        <v>395</v>
      </c>
      <c r="G42" s="156">
        <v>2000000</v>
      </c>
      <c r="H42" s="157">
        <v>2000000</v>
      </c>
      <c r="I42" s="158">
        <v>4000000</v>
      </c>
      <c r="J42" s="159">
        <v>0</v>
      </c>
      <c r="K42" s="158">
        <v>4000000</v>
      </c>
      <c r="L42" s="159">
        <v>2202853</v>
      </c>
      <c r="M42" s="158">
        <v>6500000</v>
      </c>
      <c r="N42" s="159">
        <v>6500000</v>
      </c>
      <c r="O42" s="158">
        <v>8000000</v>
      </c>
      <c r="P42" s="159"/>
      <c r="Q42" s="165">
        <f t="shared" si="33"/>
        <v>1500000</v>
      </c>
      <c r="R42" s="166">
        <f t="shared" si="33"/>
        <v>-6500000</v>
      </c>
      <c r="S42" s="156">
        <v>7764179</v>
      </c>
      <c r="T42" s="156"/>
      <c r="U42" s="171">
        <f>S42</f>
        <v>7764179</v>
      </c>
      <c r="V42" s="161">
        <v>20000000</v>
      </c>
      <c r="W42" s="158">
        <v>0</v>
      </c>
      <c r="X42" s="160"/>
      <c r="Y42" s="160"/>
      <c r="Z42" s="160">
        <f t="shared" si="34"/>
        <v>0</v>
      </c>
      <c r="AA42" s="160"/>
      <c r="AB42" s="159"/>
      <c r="AC42" s="158">
        <f t="shared" si="24"/>
        <v>20000000</v>
      </c>
      <c r="AD42" s="160"/>
      <c r="AE42" s="160"/>
      <c r="AF42" s="157">
        <f>AC42</f>
        <v>20000000</v>
      </c>
      <c r="AG42" s="157"/>
      <c r="AH42" s="159"/>
      <c r="AI42" s="35">
        <f t="shared" si="25"/>
        <v>0</v>
      </c>
      <c r="AJ42" s="11">
        <f t="shared" si="26"/>
        <v>0</v>
      </c>
      <c r="AK42" s="11">
        <f t="shared" si="27"/>
        <v>20000000</v>
      </c>
      <c r="AL42" s="11">
        <f t="shared" si="28"/>
        <v>0</v>
      </c>
      <c r="AM42" s="76">
        <f t="shared" si="29"/>
        <v>0</v>
      </c>
      <c r="AN42" s="51">
        <f t="shared" si="30"/>
        <v>20000000</v>
      </c>
      <c r="AO42" s="36"/>
      <c r="AP42" s="9"/>
      <c r="AQ42" s="9"/>
      <c r="AR42" s="9"/>
      <c r="AS42" s="9"/>
      <c r="AT42" s="9"/>
      <c r="AU42" s="9"/>
      <c r="AV42" s="9"/>
      <c r="AW42" s="10"/>
      <c r="AY42" s="11"/>
    </row>
    <row r="43" spans="5:51" ht="60" customHeight="1" x14ac:dyDescent="0.2">
      <c r="E43" s="151">
        <f t="shared" si="32"/>
        <v>20314</v>
      </c>
      <c r="F43" s="170" t="s">
        <v>404</v>
      </c>
      <c r="G43" s="156"/>
      <c r="H43" s="157"/>
      <c r="I43" s="158"/>
      <c r="J43" s="159"/>
      <c r="K43" s="158"/>
      <c r="L43" s="159"/>
      <c r="M43" s="158"/>
      <c r="N43" s="159"/>
      <c r="O43" s="158">
        <v>2000000</v>
      </c>
      <c r="P43" s="159"/>
      <c r="Q43" s="165">
        <f t="shared" si="33"/>
        <v>2000000</v>
      </c>
      <c r="R43" s="166">
        <f t="shared" si="33"/>
        <v>0</v>
      </c>
      <c r="S43" s="156"/>
      <c r="T43" s="156"/>
      <c r="U43" s="171"/>
      <c r="V43" s="161">
        <v>5000000</v>
      </c>
      <c r="W43" s="158">
        <v>0</v>
      </c>
      <c r="X43" s="160"/>
      <c r="Y43" s="160"/>
      <c r="Z43" s="160">
        <f t="shared" si="34"/>
        <v>0</v>
      </c>
      <c r="AA43" s="160"/>
      <c r="AB43" s="159"/>
      <c r="AC43" s="158">
        <f t="shared" si="24"/>
        <v>5000000</v>
      </c>
      <c r="AD43" s="160"/>
      <c r="AE43" s="160">
        <f>AC43</f>
        <v>5000000</v>
      </c>
      <c r="AF43" s="157"/>
      <c r="AG43" s="157"/>
      <c r="AH43" s="159"/>
      <c r="AI43" s="35">
        <f t="shared" si="25"/>
        <v>0</v>
      </c>
      <c r="AJ43" s="11">
        <f t="shared" si="26"/>
        <v>5000000</v>
      </c>
      <c r="AK43" s="11">
        <f t="shared" si="27"/>
        <v>0</v>
      </c>
      <c r="AL43" s="11">
        <f t="shared" si="28"/>
        <v>0</v>
      </c>
      <c r="AM43" s="76">
        <f t="shared" si="29"/>
        <v>0</v>
      </c>
      <c r="AN43" s="51">
        <f t="shared" si="30"/>
        <v>5000000</v>
      </c>
      <c r="AO43" s="36"/>
      <c r="AP43" s="9"/>
      <c r="AQ43" s="9"/>
      <c r="AR43" s="9"/>
      <c r="AS43" s="9"/>
      <c r="AT43" s="9"/>
      <c r="AU43" s="9"/>
      <c r="AV43" s="9"/>
      <c r="AW43" s="10"/>
      <c r="AY43" s="11"/>
    </row>
    <row r="44" spans="5:51" ht="60" customHeight="1" x14ac:dyDescent="0.2">
      <c r="E44" s="151">
        <f t="shared" si="32"/>
        <v>20315</v>
      </c>
      <c r="F44" s="170" t="s">
        <v>396</v>
      </c>
      <c r="G44" s="156"/>
      <c r="H44" s="157"/>
      <c r="I44" s="158"/>
      <c r="J44" s="159"/>
      <c r="K44" s="158"/>
      <c r="L44" s="159"/>
      <c r="M44" s="158"/>
      <c r="N44" s="159"/>
      <c r="O44" s="158">
        <v>4000000</v>
      </c>
      <c r="P44" s="159">
        <v>2000000</v>
      </c>
      <c r="Q44" s="165">
        <f t="shared" si="33"/>
        <v>4000000</v>
      </c>
      <c r="R44" s="166">
        <f t="shared" si="33"/>
        <v>2000000</v>
      </c>
      <c r="S44" s="156">
        <v>1900000</v>
      </c>
      <c r="T44" s="156"/>
      <c r="U44" s="171">
        <f>S44</f>
        <v>1900000</v>
      </c>
      <c r="V44" s="161">
        <v>4000000</v>
      </c>
      <c r="W44" s="158">
        <v>0</v>
      </c>
      <c r="X44" s="160"/>
      <c r="Y44" s="160"/>
      <c r="Z44" s="160">
        <f t="shared" si="34"/>
        <v>0</v>
      </c>
      <c r="AA44" s="160"/>
      <c r="AB44" s="159"/>
      <c r="AC44" s="158">
        <f t="shared" si="24"/>
        <v>4000000</v>
      </c>
      <c r="AD44" s="160"/>
      <c r="AE44" s="160">
        <f>AC44</f>
        <v>4000000</v>
      </c>
      <c r="AF44" s="157"/>
      <c r="AG44" s="157"/>
      <c r="AH44" s="159"/>
      <c r="AI44" s="35">
        <f t="shared" si="25"/>
        <v>0</v>
      </c>
      <c r="AJ44" s="11">
        <f t="shared" si="26"/>
        <v>4000000</v>
      </c>
      <c r="AK44" s="11">
        <f t="shared" si="27"/>
        <v>0</v>
      </c>
      <c r="AL44" s="11">
        <f t="shared" si="28"/>
        <v>0</v>
      </c>
      <c r="AM44" s="76">
        <f t="shared" si="29"/>
        <v>0</v>
      </c>
      <c r="AN44" s="51">
        <f t="shared" si="30"/>
        <v>4000000</v>
      </c>
      <c r="AO44" s="36"/>
      <c r="AP44" s="9"/>
      <c r="AQ44" s="9"/>
      <c r="AR44" s="9"/>
      <c r="AS44" s="9"/>
      <c r="AT44" s="9"/>
      <c r="AU44" s="9"/>
      <c r="AV44" s="9"/>
      <c r="AW44" s="10"/>
      <c r="AY44" s="11"/>
    </row>
    <row r="45" spans="5:51" ht="60" customHeight="1" x14ac:dyDescent="0.2">
      <c r="E45" s="151">
        <f t="shared" si="32"/>
        <v>20316</v>
      </c>
      <c r="F45" s="170" t="s">
        <v>397</v>
      </c>
      <c r="G45" s="156">
        <v>10000000</v>
      </c>
      <c r="H45" s="157">
        <v>505000</v>
      </c>
      <c r="I45" s="158">
        <v>15000000</v>
      </c>
      <c r="J45" s="159">
        <v>0</v>
      </c>
      <c r="K45" s="158">
        <v>20000000</v>
      </c>
      <c r="L45" s="159">
        <v>0</v>
      </c>
      <c r="M45" s="158"/>
      <c r="N45" s="159"/>
      <c r="O45" s="158">
        <v>5000000</v>
      </c>
      <c r="P45" s="159"/>
      <c r="Q45" s="165">
        <f t="shared" si="33"/>
        <v>5000000</v>
      </c>
      <c r="R45" s="166">
        <f t="shared" si="33"/>
        <v>0</v>
      </c>
      <c r="S45" s="156">
        <v>17958739</v>
      </c>
      <c r="T45" s="156"/>
      <c r="U45" s="171">
        <f>S45</f>
        <v>17958739</v>
      </c>
      <c r="V45" s="161">
        <v>2000000</v>
      </c>
      <c r="W45" s="158">
        <v>2000000</v>
      </c>
      <c r="X45" s="160"/>
      <c r="Y45" s="160"/>
      <c r="Z45" s="160">
        <f t="shared" si="34"/>
        <v>2000000</v>
      </c>
      <c r="AA45" s="160"/>
      <c r="AB45" s="159"/>
      <c r="AC45" s="158">
        <f t="shared" si="24"/>
        <v>0</v>
      </c>
      <c r="AD45" s="160"/>
      <c r="AE45" s="160"/>
      <c r="AF45" s="157"/>
      <c r="AG45" s="157"/>
      <c r="AH45" s="159">
        <f>V45-Z45</f>
        <v>0</v>
      </c>
      <c r="AI45" s="35">
        <f t="shared" si="25"/>
        <v>0</v>
      </c>
      <c r="AJ45" s="11">
        <f t="shared" si="26"/>
        <v>0</v>
      </c>
      <c r="AK45" s="11">
        <f t="shared" si="27"/>
        <v>2000000</v>
      </c>
      <c r="AL45" s="11">
        <f t="shared" si="28"/>
        <v>0</v>
      </c>
      <c r="AM45" s="76">
        <f t="shared" si="29"/>
        <v>0</v>
      </c>
      <c r="AN45" s="51">
        <f t="shared" si="30"/>
        <v>2000000</v>
      </c>
      <c r="AO45" s="36"/>
      <c r="AP45" s="9"/>
      <c r="AQ45" s="9"/>
      <c r="AR45" s="9"/>
      <c r="AS45" s="9"/>
      <c r="AT45" s="9"/>
      <c r="AU45" s="9"/>
      <c r="AV45" s="9"/>
      <c r="AW45" s="10"/>
      <c r="AY45" s="11"/>
    </row>
    <row r="46" spans="5:51" ht="60" customHeight="1" x14ac:dyDescent="0.2">
      <c r="E46" s="151">
        <f t="shared" si="32"/>
        <v>20317</v>
      </c>
      <c r="F46" s="170" t="s">
        <v>29</v>
      </c>
      <c r="G46" s="156"/>
      <c r="H46" s="157"/>
      <c r="I46" s="158">
        <v>10000000</v>
      </c>
      <c r="J46" s="159">
        <v>191000</v>
      </c>
      <c r="K46" s="158">
        <v>15000000</v>
      </c>
      <c r="L46" s="159">
        <f>1600000-30000</f>
        <v>1570000</v>
      </c>
      <c r="M46" s="158">
        <v>8500000</v>
      </c>
      <c r="N46" s="159">
        <v>4500000</v>
      </c>
      <c r="O46" s="158">
        <v>8000000</v>
      </c>
      <c r="P46" s="159">
        <v>8000000</v>
      </c>
      <c r="Q46" s="165">
        <f t="shared" si="33"/>
        <v>-500000</v>
      </c>
      <c r="R46" s="166">
        <f t="shared" si="33"/>
        <v>3500000</v>
      </c>
      <c r="S46" s="156">
        <v>5833305</v>
      </c>
      <c r="T46" s="156"/>
      <c r="U46" s="171">
        <f>S46</f>
        <v>5833305</v>
      </c>
      <c r="V46" s="161">
        <v>11000000</v>
      </c>
      <c r="W46" s="158">
        <v>8000000</v>
      </c>
      <c r="X46" s="160"/>
      <c r="Y46" s="160"/>
      <c r="Z46" s="160">
        <f t="shared" si="34"/>
        <v>8000000</v>
      </c>
      <c r="AA46" s="160"/>
      <c r="AB46" s="159"/>
      <c r="AC46" s="158">
        <f t="shared" si="24"/>
        <v>3000000</v>
      </c>
      <c r="AD46" s="160"/>
      <c r="AE46" s="160"/>
      <c r="AF46" s="157">
        <f>AC46</f>
        <v>3000000</v>
      </c>
      <c r="AG46" s="157"/>
      <c r="AH46" s="159"/>
      <c r="AI46" s="35">
        <f t="shared" si="25"/>
        <v>0</v>
      </c>
      <c r="AJ46" s="11">
        <f t="shared" si="26"/>
        <v>0</v>
      </c>
      <c r="AK46" s="11">
        <f t="shared" si="27"/>
        <v>11000000</v>
      </c>
      <c r="AL46" s="11">
        <f t="shared" si="28"/>
        <v>0</v>
      </c>
      <c r="AM46" s="76">
        <f t="shared" si="29"/>
        <v>0</v>
      </c>
      <c r="AN46" s="51">
        <f t="shared" si="30"/>
        <v>11000000</v>
      </c>
      <c r="AO46" s="36"/>
      <c r="AP46" s="9"/>
      <c r="AQ46" s="9"/>
      <c r="AR46" s="9"/>
      <c r="AS46" s="9"/>
      <c r="AT46" s="9"/>
      <c r="AU46" s="9"/>
      <c r="AV46" s="9"/>
      <c r="AW46" s="10"/>
      <c r="AY46" s="11"/>
    </row>
    <row r="47" spans="5:51" ht="60" customHeight="1" x14ac:dyDescent="0.2">
      <c r="E47" s="151">
        <f t="shared" si="32"/>
        <v>20318</v>
      </c>
      <c r="F47" s="170" t="s">
        <v>398</v>
      </c>
      <c r="G47" s="156">
        <v>20000000</v>
      </c>
      <c r="H47" s="157">
        <f>17000000+2813441</f>
        <v>19813441</v>
      </c>
      <c r="I47" s="158">
        <v>38000000</v>
      </c>
      <c r="J47" s="159">
        <f>4831215+12206779</f>
        <v>17037994</v>
      </c>
      <c r="K47" s="158">
        <v>20000000</v>
      </c>
      <c r="L47" s="159">
        <v>16000000</v>
      </c>
      <c r="M47" s="158">
        <v>7700000</v>
      </c>
      <c r="N47" s="159">
        <v>7700000</v>
      </c>
      <c r="O47" s="158">
        <v>15100000</v>
      </c>
      <c r="P47" s="159">
        <v>7500000</v>
      </c>
      <c r="Q47" s="165">
        <f t="shared" si="33"/>
        <v>7400000</v>
      </c>
      <c r="R47" s="166">
        <f t="shared" si="33"/>
        <v>-200000</v>
      </c>
      <c r="S47" s="156">
        <v>11222884</v>
      </c>
      <c r="T47" s="156"/>
      <c r="U47" s="171">
        <f>S47</f>
        <v>11222884</v>
      </c>
      <c r="V47" s="161">
        <v>8000000</v>
      </c>
      <c r="W47" s="158">
        <f>V47</f>
        <v>8000000</v>
      </c>
      <c r="X47" s="160">
        <f>W47</f>
        <v>8000000</v>
      </c>
      <c r="Y47" s="160"/>
      <c r="Z47" s="160"/>
      <c r="AA47" s="160"/>
      <c r="AB47" s="159"/>
      <c r="AC47" s="158">
        <f t="shared" si="24"/>
        <v>0</v>
      </c>
      <c r="AD47" s="160"/>
      <c r="AE47" s="160"/>
      <c r="AF47" s="157"/>
      <c r="AG47" s="157"/>
      <c r="AH47" s="159"/>
      <c r="AI47" s="35">
        <f t="shared" si="25"/>
        <v>8000000</v>
      </c>
      <c r="AJ47" s="11">
        <f t="shared" si="26"/>
        <v>0</v>
      </c>
      <c r="AK47" s="11">
        <f t="shared" si="27"/>
        <v>0</v>
      </c>
      <c r="AL47" s="11">
        <f t="shared" si="28"/>
        <v>0</v>
      </c>
      <c r="AM47" s="76">
        <f t="shared" si="29"/>
        <v>0</v>
      </c>
      <c r="AN47" s="51">
        <f t="shared" si="30"/>
        <v>0</v>
      </c>
      <c r="AO47" s="36"/>
      <c r="AP47" s="9"/>
      <c r="AQ47" s="9"/>
      <c r="AR47" s="9"/>
      <c r="AS47" s="9"/>
      <c r="AT47" s="9"/>
      <c r="AU47" s="9"/>
      <c r="AV47" s="9"/>
      <c r="AW47" s="10"/>
      <c r="AY47" s="11"/>
    </row>
    <row r="48" spans="5:51" ht="60" customHeight="1" x14ac:dyDescent="0.2">
      <c r="E48" s="151">
        <f t="shared" si="32"/>
        <v>20319</v>
      </c>
      <c r="F48" s="170" t="s">
        <v>31</v>
      </c>
      <c r="G48" s="156">
        <v>6000000</v>
      </c>
      <c r="H48" s="157">
        <v>500000</v>
      </c>
      <c r="I48" s="158">
        <v>6000000</v>
      </c>
      <c r="J48" s="159">
        <v>0</v>
      </c>
      <c r="K48" s="158">
        <v>6000000</v>
      </c>
      <c r="L48" s="159">
        <v>0</v>
      </c>
      <c r="M48" s="158">
        <v>8000000</v>
      </c>
      <c r="N48" s="159"/>
      <c r="O48" s="158">
        <v>8000000</v>
      </c>
      <c r="P48" s="159"/>
      <c r="Q48" s="165">
        <f t="shared" si="33"/>
        <v>0</v>
      </c>
      <c r="R48" s="166">
        <f t="shared" si="33"/>
        <v>0</v>
      </c>
      <c r="S48" s="156">
        <v>500000</v>
      </c>
      <c r="T48" s="156">
        <v>500000</v>
      </c>
      <c r="U48" s="171"/>
      <c r="V48" s="161">
        <v>8000000</v>
      </c>
      <c r="W48" s="158"/>
      <c r="X48" s="160">
        <f>W48</f>
        <v>0</v>
      </c>
      <c r="Y48" s="160"/>
      <c r="Z48" s="160"/>
      <c r="AA48" s="160"/>
      <c r="AB48" s="159"/>
      <c r="AC48" s="158">
        <f t="shared" si="24"/>
        <v>8000000</v>
      </c>
      <c r="AD48" s="160"/>
      <c r="AE48" s="160"/>
      <c r="AF48" s="157">
        <f>AC48</f>
        <v>8000000</v>
      </c>
      <c r="AG48" s="157"/>
      <c r="AH48" s="159"/>
      <c r="AI48" s="35">
        <f t="shared" si="25"/>
        <v>0</v>
      </c>
      <c r="AJ48" s="11">
        <f t="shared" si="26"/>
        <v>0</v>
      </c>
      <c r="AK48" s="11">
        <f t="shared" si="27"/>
        <v>8000000</v>
      </c>
      <c r="AL48" s="11">
        <f t="shared" si="28"/>
        <v>0</v>
      </c>
      <c r="AM48" s="76">
        <f t="shared" si="29"/>
        <v>0</v>
      </c>
      <c r="AN48" s="51">
        <f t="shared" si="30"/>
        <v>8000000</v>
      </c>
      <c r="AO48" s="36"/>
      <c r="AP48" s="9"/>
      <c r="AQ48" s="9"/>
      <c r="AR48" s="9"/>
      <c r="AS48" s="9"/>
      <c r="AT48" s="9"/>
      <c r="AU48" s="9"/>
      <c r="AV48" s="9"/>
      <c r="AW48" s="10"/>
      <c r="AY48" s="11"/>
    </row>
    <row r="49" spans="5:51" ht="60" customHeight="1" x14ac:dyDescent="0.2">
      <c r="E49" s="151">
        <f t="shared" si="32"/>
        <v>20320</v>
      </c>
      <c r="F49" s="170" t="s">
        <v>405</v>
      </c>
      <c r="G49" s="156"/>
      <c r="H49" s="157"/>
      <c r="I49" s="158"/>
      <c r="J49" s="159"/>
      <c r="K49" s="158"/>
      <c r="L49" s="159"/>
      <c r="M49" s="158"/>
      <c r="N49" s="159"/>
      <c r="O49" s="158">
        <v>2000000</v>
      </c>
      <c r="P49" s="159">
        <v>1500000</v>
      </c>
      <c r="Q49" s="165">
        <f t="shared" si="33"/>
        <v>2000000</v>
      </c>
      <c r="R49" s="166">
        <f t="shared" si="33"/>
        <v>1500000</v>
      </c>
      <c r="S49" s="156">
        <v>1500000</v>
      </c>
      <c r="T49" s="156"/>
      <c r="U49" s="171">
        <f>S49</f>
        <v>1500000</v>
      </c>
      <c r="V49" s="161">
        <v>10000000</v>
      </c>
      <c r="W49" s="158">
        <f>V49</f>
        <v>10000000</v>
      </c>
      <c r="X49" s="160">
        <f>W49</f>
        <v>10000000</v>
      </c>
      <c r="Y49" s="160"/>
      <c r="Z49" s="160"/>
      <c r="AA49" s="160"/>
      <c r="AB49" s="159"/>
      <c r="AC49" s="158">
        <f t="shared" si="24"/>
        <v>0</v>
      </c>
      <c r="AD49" s="160"/>
      <c r="AE49" s="160"/>
      <c r="AF49" s="157"/>
      <c r="AG49" s="157"/>
      <c r="AH49" s="159"/>
      <c r="AI49" s="35">
        <f t="shared" si="25"/>
        <v>10000000</v>
      </c>
      <c r="AJ49" s="11">
        <f t="shared" si="26"/>
        <v>0</v>
      </c>
      <c r="AK49" s="11">
        <f t="shared" si="27"/>
        <v>0</v>
      </c>
      <c r="AL49" s="11">
        <f t="shared" si="28"/>
        <v>0</v>
      </c>
      <c r="AM49" s="76">
        <f t="shared" si="29"/>
        <v>0</v>
      </c>
      <c r="AN49" s="51">
        <f t="shared" si="30"/>
        <v>0</v>
      </c>
      <c r="AO49" s="36"/>
      <c r="AP49" s="9"/>
      <c r="AQ49" s="9"/>
      <c r="AR49" s="9"/>
      <c r="AS49" s="9"/>
      <c r="AT49" s="9"/>
      <c r="AU49" s="9"/>
      <c r="AV49" s="9"/>
      <c r="AW49" s="10"/>
      <c r="AY49" s="11"/>
    </row>
    <row r="50" spans="5:51" ht="60" customHeight="1" x14ac:dyDescent="0.2">
      <c r="E50" s="151">
        <f t="shared" si="32"/>
        <v>20321</v>
      </c>
      <c r="F50" s="170" t="s">
        <v>545</v>
      </c>
      <c r="G50" s="156"/>
      <c r="H50" s="157"/>
      <c r="I50" s="158"/>
      <c r="J50" s="159"/>
      <c r="K50" s="158"/>
      <c r="L50" s="159"/>
      <c r="M50" s="158"/>
      <c r="N50" s="159"/>
      <c r="O50" s="158"/>
      <c r="P50" s="159"/>
      <c r="Q50" s="165"/>
      <c r="R50" s="166"/>
      <c r="S50" s="156"/>
      <c r="T50" s="156"/>
      <c r="U50" s="171"/>
      <c r="V50" s="161">
        <v>1700000</v>
      </c>
      <c r="W50" s="158">
        <v>0</v>
      </c>
      <c r="X50" s="160"/>
      <c r="Y50" s="160"/>
      <c r="Z50" s="160">
        <f>W50</f>
        <v>0</v>
      </c>
      <c r="AA50" s="160"/>
      <c r="AB50" s="159"/>
      <c r="AC50" s="158">
        <f t="shared" si="24"/>
        <v>1700000</v>
      </c>
      <c r="AD50" s="160"/>
      <c r="AE50" s="160"/>
      <c r="AF50" s="157">
        <f>AC50</f>
        <v>1700000</v>
      </c>
      <c r="AG50" s="157"/>
      <c r="AH50" s="159"/>
      <c r="AI50" s="35">
        <f t="shared" si="25"/>
        <v>0</v>
      </c>
      <c r="AJ50" s="11">
        <f t="shared" si="26"/>
        <v>0</v>
      </c>
      <c r="AK50" s="11">
        <f t="shared" si="27"/>
        <v>1700000</v>
      </c>
      <c r="AL50" s="11">
        <f t="shared" si="28"/>
        <v>0</v>
      </c>
      <c r="AM50" s="76">
        <f t="shared" si="29"/>
        <v>0</v>
      </c>
      <c r="AN50" s="51">
        <f t="shared" si="30"/>
        <v>1700000</v>
      </c>
      <c r="AO50" s="36"/>
      <c r="AP50" s="9"/>
      <c r="AQ50" s="9"/>
      <c r="AR50" s="9"/>
      <c r="AS50" s="9"/>
      <c r="AT50" s="9"/>
      <c r="AU50" s="9"/>
      <c r="AV50" s="9"/>
      <c r="AW50" s="10"/>
      <c r="AY50" s="11"/>
    </row>
    <row r="51" spans="5:51" ht="60" customHeight="1" x14ac:dyDescent="0.2">
      <c r="E51" s="151">
        <f t="shared" si="32"/>
        <v>20322</v>
      </c>
      <c r="F51" s="170" t="s">
        <v>430</v>
      </c>
      <c r="G51" s="156"/>
      <c r="H51" s="157"/>
      <c r="I51" s="158"/>
      <c r="J51" s="159"/>
      <c r="K51" s="158"/>
      <c r="L51" s="159"/>
      <c r="M51" s="158"/>
      <c r="N51" s="159"/>
      <c r="O51" s="158"/>
      <c r="P51" s="159"/>
      <c r="Q51" s="165"/>
      <c r="R51" s="166"/>
      <c r="S51" s="156"/>
      <c r="T51" s="156"/>
      <c r="U51" s="171"/>
      <c r="V51" s="161">
        <v>15000000</v>
      </c>
      <c r="W51" s="158">
        <v>1500000</v>
      </c>
      <c r="X51" s="160">
        <f>W51*0.7</f>
        <v>1050000</v>
      </c>
      <c r="Y51" s="160">
        <f>W51-X51</f>
        <v>450000</v>
      </c>
      <c r="Z51" s="160"/>
      <c r="AA51" s="160"/>
      <c r="AB51" s="159"/>
      <c r="AC51" s="158">
        <f t="shared" si="24"/>
        <v>13500000</v>
      </c>
      <c r="AD51" s="160">
        <f>AC51*0.7</f>
        <v>9450000</v>
      </c>
      <c r="AE51" s="160">
        <f>AC51-AD51</f>
        <v>4050000</v>
      </c>
      <c r="AF51" s="157"/>
      <c r="AG51" s="157"/>
      <c r="AH51" s="159"/>
      <c r="AI51" s="35">
        <f t="shared" si="25"/>
        <v>10500000</v>
      </c>
      <c r="AJ51" s="11">
        <f t="shared" si="26"/>
        <v>4500000</v>
      </c>
      <c r="AK51" s="11">
        <f t="shared" si="27"/>
        <v>0</v>
      </c>
      <c r="AL51" s="11">
        <f t="shared" si="28"/>
        <v>0</v>
      </c>
      <c r="AM51" s="76">
        <f t="shared" si="29"/>
        <v>0</v>
      </c>
      <c r="AN51" s="51">
        <f t="shared" si="30"/>
        <v>4500000</v>
      </c>
      <c r="AO51" s="36"/>
      <c r="AP51" s="9"/>
      <c r="AQ51" s="9"/>
      <c r="AR51" s="9"/>
      <c r="AS51" s="9"/>
      <c r="AT51" s="9"/>
      <c r="AU51" s="9"/>
      <c r="AV51" s="9"/>
      <c r="AW51" s="10"/>
      <c r="AY51" s="11"/>
    </row>
    <row r="52" spans="5:51" ht="60" customHeight="1" x14ac:dyDescent="0.2">
      <c r="E52" s="151">
        <f t="shared" si="32"/>
        <v>20323</v>
      </c>
      <c r="F52" s="162" t="s">
        <v>27</v>
      </c>
      <c r="G52" s="156">
        <v>1000000</v>
      </c>
      <c r="H52" s="157">
        <v>821500</v>
      </c>
      <c r="I52" s="158">
        <v>1000000</v>
      </c>
      <c r="J52" s="159">
        <v>842000</v>
      </c>
      <c r="K52" s="158">
        <v>1000000</v>
      </c>
      <c r="L52" s="159">
        <v>689200</v>
      </c>
      <c r="M52" s="158">
        <v>1000000</v>
      </c>
      <c r="N52" s="159">
        <v>1016470</v>
      </c>
      <c r="O52" s="158">
        <v>1000000</v>
      </c>
      <c r="P52" s="159">
        <v>1153362</v>
      </c>
      <c r="Q52" s="165">
        <f t="shared" si="33"/>
        <v>0</v>
      </c>
      <c r="R52" s="166">
        <f t="shared" si="33"/>
        <v>136892</v>
      </c>
      <c r="S52" s="156">
        <v>50000</v>
      </c>
      <c r="T52" s="156"/>
      <c r="U52" s="171">
        <f>+S52</f>
        <v>50000</v>
      </c>
      <c r="V52" s="161">
        <v>1000000</v>
      </c>
      <c r="W52" s="158">
        <v>1000000</v>
      </c>
      <c r="X52" s="160"/>
      <c r="Y52" s="160"/>
      <c r="Z52" s="160"/>
      <c r="AA52" s="160">
        <f>W52</f>
        <v>1000000</v>
      </c>
      <c r="AB52" s="159"/>
      <c r="AC52" s="158">
        <f t="shared" si="24"/>
        <v>0</v>
      </c>
      <c r="AD52" s="160"/>
      <c r="AE52" s="160"/>
      <c r="AF52" s="157"/>
      <c r="AG52" s="157"/>
      <c r="AH52" s="159"/>
      <c r="AI52" s="35">
        <f t="shared" si="25"/>
        <v>0</v>
      </c>
      <c r="AJ52" s="11">
        <f t="shared" si="26"/>
        <v>0</v>
      </c>
      <c r="AK52" s="11">
        <f t="shared" si="27"/>
        <v>0</v>
      </c>
      <c r="AL52" s="11">
        <f t="shared" si="28"/>
        <v>1000000</v>
      </c>
      <c r="AM52" s="76">
        <f t="shared" si="29"/>
        <v>0</v>
      </c>
      <c r="AN52" s="51">
        <f t="shared" si="30"/>
        <v>1000000</v>
      </c>
      <c r="AO52" s="36"/>
      <c r="AP52" s="9"/>
      <c r="AQ52" s="9"/>
      <c r="AR52" s="9"/>
      <c r="AS52" s="9"/>
      <c r="AT52" s="9"/>
      <c r="AU52" s="9"/>
      <c r="AV52" s="9"/>
      <c r="AW52" s="10"/>
      <c r="AY52" s="11"/>
    </row>
    <row r="53" spans="5:51" ht="60" customHeight="1" x14ac:dyDescent="0.2">
      <c r="E53" s="151">
        <f t="shared" si="32"/>
        <v>20324</v>
      </c>
      <c r="F53" s="170" t="s">
        <v>431</v>
      </c>
      <c r="G53" s="156"/>
      <c r="H53" s="157"/>
      <c r="I53" s="158"/>
      <c r="J53" s="159"/>
      <c r="K53" s="158"/>
      <c r="L53" s="159"/>
      <c r="M53" s="158"/>
      <c r="N53" s="159"/>
      <c r="O53" s="158"/>
      <c r="P53" s="159"/>
      <c r="Q53" s="165"/>
      <c r="R53" s="166"/>
      <c r="S53" s="156"/>
      <c r="T53" s="156"/>
      <c r="U53" s="171"/>
      <c r="V53" s="161">
        <v>5000000</v>
      </c>
      <c r="W53" s="158">
        <v>0</v>
      </c>
      <c r="X53" s="160"/>
      <c r="Y53" s="160"/>
      <c r="Z53" s="160">
        <f>W53</f>
        <v>0</v>
      </c>
      <c r="AA53" s="160"/>
      <c r="AB53" s="159"/>
      <c r="AC53" s="158">
        <f t="shared" si="24"/>
        <v>5000000</v>
      </c>
      <c r="AD53" s="160"/>
      <c r="AE53" s="160">
        <f>AC53</f>
        <v>5000000</v>
      </c>
      <c r="AF53" s="157"/>
      <c r="AG53" s="157"/>
      <c r="AH53" s="159"/>
      <c r="AI53" s="35">
        <f t="shared" si="25"/>
        <v>0</v>
      </c>
      <c r="AJ53" s="11">
        <f t="shared" si="26"/>
        <v>5000000</v>
      </c>
      <c r="AK53" s="11">
        <f t="shared" si="27"/>
        <v>0</v>
      </c>
      <c r="AL53" s="11">
        <f t="shared" si="28"/>
        <v>0</v>
      </c>
      <c r="AM53" s="76">
        <f t="shared" si="29"/>
        <v>0</v>
      </c>
      <c r="AN53" s="51">
        <f t="shared" si="30"/>
        <v>5000000</v>
      </c>
      <c r="AO53" s="36"/>
      <c r="AP53" s="9"/>
      <c r="AQ53" s="9"/>
      <c r="AR53" s="9"/>
      <c r="AS53" s="9"/>
      <c r="AT53" s="9"/>
      <c r="AU53" s="9"/>
      <c r="AV53" s="9"/>
      <c r="AW53" s="10"/>
      <c r="AY53" s="11"/>
    </row>
    <row r="54" spans="5:51" ht="60" customHeight="1" x14ac:dyDescent="0.2">
      <c r="E54" s="151">
        <f t="shared" si="32"/>
        <v>20325</v>
      </c>
      <c r="F54" s="170" t="s">
        <v>432</v>
      </c>
      <c r="G54" s="156"/>
      <c r="H54" s="157"/>
      <c r="I54" s="158"/>
      <c r="J54" s="159"/>
      <c r="K54" s="158"/>
      <c r="L54" s="159"/>
      <c r="M54" s="158"/>
      <c r="N54" s="159"/>
      <c r="O54" s="158"/>
      <c r="P54" s="159"/>
      <c r="Q54" s="165"/>
      <c r="R54" s="166"/>
      <c r="S54" s="156"/>
      <c r="T54" s="156"/>
      <c r="U54" s="171"/>
      <c r="V54" s="161">
        <v>3000000</v>
      </c>
      <c r="W54" s="158">
        <v>0</v>
      </c>
      <c r="X54" s="160"/>
      <c r="Y54" s="160"/>
      <c r="Z54" s="160">
        <f>W54</f>
        <v>0</v>
      </c>
      <c r="AA54" s="160"/>
      <c r="AB54" s="159"/>
      <c r="AC54" s="158">
        <f t="shared" si="24"/>
        <v>3000000</v>
      </c>
      <c r="AD54" s="160"/>
      <c r="AE54" s="160"/>
      <c r="AF54" s="157">
        <f>AC54</f>
        <v>3000000</v>
      </c>
      <c r="AG54" s="157"/>
      <c r="AH54" s="159"/>
      <c r="AI54" s="35">
        <f t="shared" si="25"/>
        <v>0</v>
      </c>
      <c r="AJ54" s="11">
        <f t="shared" si="26"/>
        <v>0</v>
      </c>
      <c r="AK54" s="11">
        <f t="shared" si="27"/>
        <v>3000000</v>
      </c>
      <c r="AL54" s="11">
        <f t="shared" si="28"/>
        <v>0</v>
      </c>
      <c r="AM54" s="76">
        <f t="shared" si="29"/>
        <v>0</v>
      </c>
      <c r="AN54" s="51">
        <f t="shared" si="30"/>
        <v>3000000</v>
      </c>
      <c r="AO54" s="36"/>
      <c r="AP54" s="9"/>
      <c r="AQ54" s="9"/>
      <c r="AR54" s="9"/>
      <c r="AS54" s="9"/>
      <c r="AT54" s="9"/>
      <c r="AU54" s="9"/>
      <c r="AV54" s="9"/>
      <c r="AW54" s="10"/>
      <c r="AY54" s="11"/>
    </row>
    <row r="55" spans="5:51" ht="60" customHeight="1" x14ac:dyDescent="0.2">
      <c r="E55" s="151">
        <f t="shared" si="32"/>
        <v>20326</v>
      </c>
      <c r="F55" s="170" t="s">
        <v>433</v>
      </c>
      <c r="G55" s="156"/>
      <c r="H55" s="157"/>
      <c r="I55" s="158"/>
      <c r="J55" s="159"/>
      <c r="K55" s="158"/>
      <c r="L55" s="159"/>
      <c r="M55" s="158"/>
      <c r="N55" s="159"/>
      <c r="O55" s="158"/>
      <c r="P55" s="159"/>
      <c r="Q55" s="165"/>
      <c r="R55" s="166"/>
      <c r="S55" s="156"/>
      <c r="T55" s="156"/>
      <c r="U55" s="171"/>
      <c r="V55" s="161">
        <v>300000</v>
      </c>
      <c r="W55" s="158">
        <v>0</v>
      </c>
      <c r="X55" s="160"/>
      <c r="Y55" s="160"/>
      <c r="Z55" s="160">
        <f>W55</f>
        <v>0</v>
      </c>
      <c r="AA55" s="160"/>
      <c r="AB55" s="159"/>
      <c r="AC55" s="158">
        <f t="shared" si="24"/>
        <v>300000</v>
      </c>
      <c r="AD55" s="160"/>
      <c r="AE55" s="160"/>
      <c r="AF55" s="157">
        <f>AC55</f>
        <v>300000</v>
      </c>
      <c r="AG55" s="157"/>
      <c r="AH55" s="159"/>
      <c r="AI55" s="35">
        <f t="shared" si="25"/>
        <v>0</v>
      </c>
      <c r="AJ55" s="11">
        <f t="shared" si="26"/>
        <v>0</v>
      </c>
      <c r="AK55" s="11">
        <f t="shared" si="27"/>
        <v>300000</v>
      </c>
      <c r="AL55" s="11">
        <f t="shared" si="28"/>
        <v>0</v>
      </c>
      <c r="AM55" s="76">
        <f t="shared" si="29"/>
        <v>0</v>
      </c>
      <c r="AN55" s="51">
        <f t="shared" si="30"/>
        <v>300000</v>
      </c>
      <c r="AO55" s="36"/>
      <c r="AP55" s="9"/>
      <c r="AQ55" s="9"/>
      <c r="AR55" s="9"/>
      <c r="AS55" s="9"/>
      <c r="AT55" s="9"/>
      <c r="AU55" s="9"/>
      <c r="AV55" s="9"/>
      <c r="AW55" s="10"/>
      <c r="AY55" s="11"/>
    </row>
    <row r="56" spans="5:51" ht="60" customHeight="1" x14ac:dyDescent="0.2">
      <c r="E56" s="151">
        <f t="shared" si="32"/>
        <v>20327</v>
      </c>
      <c r="F56" s="170" t="s">
        <v>434</v>
      </c>
      <c r="G56" s="156"/>
      <c r="H56" s="157"/>
      <c r="I56" s="158"/>
      <c r="J56" s="159"/>
      <c r="K56" s="158"/>
      <c r="L56" s="159"/>
      <c r="M56" s="158"/>
      <c r="N56" s="159"/>
      <c r="O56" s="158"/>
      <c r="P56" s="159"/>
      <c r="Q56" s="165"/>
      <c r="R56" s="166"/>
      <c r="S56" s="156"/>
      <c r="T56" s="156"/>
      <c r="U56" s="171"/>
      <c r="V56" s="161">
        <v>10000000</v>
      </c>
      <c r="W56" s="158">
        <v>0</v>
      </c>
      <c r="X56" s="160"/>
      <c r="Y56" s="160"/>
      <c r="Z56" s="160">
        <f>W56</f>
        <v>0</v>
      </c>
      <c r="AA56" s="160"/>
      <c r="AB56" s="159"/>
      <c r="AC56" s="158">
        <f t="shared" si="24"/>
        <v>10000000</v>
      </c>
      <c r="AD56" s="160"/>
      <c r="AE56" s="160"/>
      <c r="AF56" s="157">
        <f>AC56</f>
        <v>10000000</v>
      </c>
      <c r="AG56" s="157"/>
      <c r="AH56" s="159"/>
      <c r="AI56" s="35">
        <f t="shared" si="25"/>
        <v>0</v>
      </c>
      <c r="AJ56" s="11">
        <f t="shared" si="26"/>
        <v>0</v>
      </c>
      <c r="AK56" s="11">
        <f t="shared" si="27"/>
        <v>10000000</v>
      </c>
      <c r="AL56" s="11">
        <f t="shared" si="28"/>
        <v>0</v>
      </c>
      <c r="AM56" s="76">
        <f t="shared" si="29"/>
        <v>0</v>
      </c>
      <c r="AN56" s="51">
        <f t="shared" si="30"/>
        <v>10000000</v>
      </c>
      <c r="AO56" s="36"/>
      <c r="AP56" s="9"/>
      <c r="AQ56" s="9"/>
      <c r="AR56" s="9"/>
      <c r="AS56" s="9"/>
      <c r="AT56" s="9"/>
      <c r="AU56" s="9"/>
      <c r="AV56" s="9"/>
      <c r="AW56" s="10"/>
      <c r="AY56" s="11"/>
    </row>
    <row r="57" spans="5:51" ht="60" customHeight="1" x14ac:dyDescent="0.2">
      <c r="E57" s="151">
        <f t="shared" si="32"/>
        <v>20328</v>
      </c>
      <c r="F57" s="170" t="s">
        <v>435</v>
      </c>
      <c r="G57" s="156"/>
      <c r="H57" s="157"/>
      <c r="I57" s="158"/>
      <c r="J57" s="159"/>
      <c r="K57" s="158"/>
      <c r="L57" s="159"/>
      <c r="M57" s="158"/>
      <c r="N57" s="159"/>
      <c r="O57" s="158"/>
      <c r="P57" s="159"/>
      <c r="Q57" s="165"/>
      <c r="R57" s="166"/>
      <c r="S57" s="156"/>
      <c r="T57" s="156"/>
      <c r="U57" s="171"/>
      <c r="V57" s="161">
        <v>50000</v>
      </c>
      <c r="W57" s="158">
        <v>50000</v>
      </c>
      <c r="X57" s="160"/>
      <c r="Y57" s="160"/>
      <c r="Z57" s="160"/>
      <c r="AA57" s="160">
        <f>W57</f>
        <v>50000</v>
      </c>
      <c r="AB57" s="159"/>
      <c r="AC57" s="158">
        <f t="shared" si="24"/>
        <v>0</v>
      </c>
      <c r="AD57" s="160"/>
      <c r="AE57" s="160"/>
      <c r="AF57" s="157"/>
      <c r="AG57" s="157"/>
      <c r="AH57" s="159"/>
      <c r="AI57" s="35">
        <f t="shared" si="25"/>
        <v>0</v>
      </c>
      <c r="AJ57" s="11">
        <f t="shared" si="26"/>
        <v>0</v>
      </c>
      <c r="AK57" s="11">
        <f t="shared" si="27"/>
        <v>0</v>
      </c>
      <c r="AL57" s="11">
        <f t="shared" si="28"/>
        <v>50000</v>
      </c>
      <c r="AM57" s="76">
        <f t="shared" si="29"/>
        <v>0</v>
      </c>
      <c r="AN57" s="51">
        <f t="shared" si="30"/>
        <v>50000</v>
      </c>
      <c r="AO57" s="36"/>
      <c r="AP57" s="9"/>
      <c r="AQ57" s="9"/>
      <c r="AR57" s="9"/>
      <c r="AS57" s="9"/>
      <c r="AT57" s="9"/>
      <c r="AU57" s="9"/>
      <c r="AV57" s="9"/>
      <c r="AW57" s="10"/>
      <c r="AY57" s="11"/>
    </row>
    <row r="58" spans="5:51" ht="60" customHeight="1" x14ac:dyDescent="0.2">
      <c r="E58" s="151">
        <f t="shared" si="32"/>
        <v>20329</v>
      </c>
      <c r="F58" s="170" t="s">
        <v>436</v>
      </c>
      <c r="G58" s="156"/>
      <c r="H58" s="157"/>
      <c r="I58" s="158"/>
      <c r="J58" s="159"/>
      <c r="K58" s="158"/>
      <c r="L58" s="159"/>
      <c r="M58" s="158"/>
      <c r="N58" s="159"/>
      <c r="O58" s="158"/>
      <c r="P58" s="159"/>
      <c r="Q58" s="165"/>
      <c r="R58" s="166"/>
      <c r="S58" s="156"/>
      <c r="T58" s="156"/>
      <c r="U58" s="171"/>
      <c r="V58" s="161">
        <v>3000000</v>
      </c>
      <c r="W58" s="158">
        <v>0</v>
      </c>
      <c r="X58" s="160"/>
      <c r="Y58" s="160"/>
      <c r="Z58" s="160">
        <f>W58</f>
        <v>0</v>
      </c>
      <c r="AA58" s="160"/>
      <c r="AB58" s="159"/>
      <c r="AC58" s="158">
        <f t="shared" si="24"/>
        <v>3000000</v>
      </c>
      <c r="AD58" s="160"/>
      <c r="AE58" s="160">
        <f>AC58</f>
        <v>3000000</v>
      </c>
      <c r="AF58" s="157"/>
      <c r="AG58" s="157"/>
      <c r="AH58" s="159"/>
      <c r="AI58" s="35">
        <f t="shared" si="25"/>
        <v>0</v>
      </c>
      <c r="AJ58" s="11">
        <f t="shared" si="26"/>
        <v>3000000</v>
      </c>
      <c r="AK58" s="11">
        <f t="shared" si="27"/>
        <v>0</v>
      </c>
      <c r="AL58" s="11">
        <f t="shared" si="28"/>
        <v>0</v>
      </c>
      <c r="AM58" s="76">
        <f t="shared" si="29"/>
        <v>0</v>
      </c>
      <c r="AN58" s="51">
        <f t="shared" si="30"/>
        <v>3000000</v>
      </c>
      <c r="AO58" s="36"/>
      <c r="AP58" s="9"/>
      <c r="AQ58" s="9"/>
      <c r="AR58" s="9"/>
      <c r="AS58" s="9"/>
      <c r="AT58" s="9"/>
      <c r="AU58" s="9"/>
      <c r="AV58" s="9"/>
      <c r="AW58" s="10"/>
      <c r="AY58" s="11"/>
    </row>
    <row r="59" spans="5:51" ht="60" customHeight="1" x14ac:dyDescent="0.2">
      <c r="E59" s="151">
        <f t="shared" si="32"/>
        <v>20330</v>
      </c>
      <c r="F59" s="170" t="s">
        <v>437</v>
      </c>
      <c r="G59" s="156"/>
      <c r="H59" s="157"/>
      <c r="I59" s="158"/>
      <c r="J59" s="159"/>
      <c r="K59" s="158"/>
      <c r="L59" s="159"/>
      <c r="M59" s="158"/>
      <c r="N59" s="159"/>
      <c r="O59" s="158"/>
      <c r="P59" s="159"/>
      <c r="Q59" s="165"/>
      <c r="R59" s="166"/>
      <c r="S59" s="156"/>
      <c r="T59" s="156"/>
      <c r="U59" s="171"/>
      <c r="V59" s="161">
        <v>1000000</v>
      </c>
      <c r="W59" s="158">
        <v>0</v>
      </c>
      <c r="X59" s="160"/>
      <c r="Y59" s="160"/>
      <c r="Z59" s="160">
        <f>W59</f>
        <v>0</v>
      </c>
      <c r="AA59" s="160"/>
      <c r="AB59" s="159"/>
      <c r="AC59" s="158">
        <f t="shared" si="24"/>
        <v>1000000</v>
      </c>
      <c r="AD59" s="160"/>
      <c r="AE59" s="160">
        <f>AC59</f>
        <v>1000000</v>
      </c>
      <c r="AF59" s="157"/>
      <c r="AG59" s="157"/>
      <c r="AH59" s="159"/>
      <c r="AI59" s="35">
        <f t="shared" si="25"/>
        <v>0</v>
      </c>
      <c r="AJ59" s="11">
        <f t="shared" si="26"/>
        <v>1000000</v>
      </c>
      <c r="AK59" s="11">
        <f t="shared" si="27"/>
        <v>0</v>
      </c>
      <c r="AL59" s="11">
        <f t="shared" si="28"/>
        <v>0</v>
      </c>
      <c r="AM59" s="76">
        <f t="shared" si="29"/>
        <v>0</v>
      </c>
      <c r="AN59" s="51">
        <f t="shared" si="30"/>
        <v>1000000</v>
      </c>
      <c r="AO59" s="36"/>
      <c r="AP59" s="9"/>
      <c r="AQ59" s="9"/>
      <c r="AR59" s="9"/>
      <c r="AS59" s="9"/>
      <c r="AT59" s="9"/>
      <c r="AU59" s="9"/>
      <c r="AV59" s="9"/>
      <c r="AW59" s="10"/>
      <c r="AY59" s="11"/>
    </row>
    <row r="60" spans="5:51" ht="60" customHeight="1" x14ac:dyDescent="0.2">
      <c r="E60" s="151">
        <f t="shared" si="32"/>
        <v>20331</v>
      </c>
      <c r="F60" s="170" t="s">
        <v>438</v>
      </c>
      <c r="G60" s="156"/>
      <c r="H60" s="157"/>
      <c r="I60" s="158"/>
      <c r="J60" s="159"/>
      <c r="K60" s="158"/>
      <c r="L60" s="159"/>
      <c r="M60" s="158"/>
      <c r="N60" s="159"/>
      <c r="O60" s="158"/>
      <c r="P60" s="159"/>
      <c r="Q60" s="165"/>
      <c r="R60" s="166"/>
      <c r="S60" s="156"/>
      <c r="T60" s="156"/>
      <c r="U60" s="171"/>
      <c r="V60" s="161">
        <v>50000</v>
      </c>
      <c r="W60" s="158">
        <v>0</v>
      </c>
      <c r="X60" s="160"/>
      <c r="Y60" s="160"/>
      <c r="Z60" s="160">
        <f>W60</f>
        <v>0</v>
      </c>
      <c r="AA60" s="160"/>
      <c r="AB60" s="159"/>
      <c r="AC60" s="158">
        <f t="shared" si="24"/>
        <v>50000</v>
      </c>
      <c r="AD60" s="160"/>
      <c r="AE60" s="160">
        <f>AC60</f>
        <v>50000</v>
      </c>
      <c r="AF60" s="157"/>
      <c r="AG60" s="157"/>
      <c r="AH60" s="159"/>
      <c r="AI60" s="35">
        <f t="shared" si="25"/>
        <v>0</v>
      </c>
      <c r="AJ60" s="11">
        <f t="shared" si="26"/>
        <v>50000</v>
      </c>
      <c r="AK60" s="11">
        <f t="shared" si="27"/>
        <v>0</v>
      </c>
      <c r="AL60" s="11">
        <f t="shared" si="28"/>
        <v>0</v>
      </c>
      <c r="AM60" s="76">
        <f t="shared" si="29"/>
        <v>0</v>
      </c>
      <c r="AN60" s="51">
        <f t="shared" si="30"/>
        <v>50000</v>
      </c>
      <c r="AO60" s="36"/>
      <c r="AP60" s="9"/>
      <c r="AQ60" s="9"/>
      <c r="AR60" s="9"/>
      <c r="AS60" s="9"/>
      <c r="AT60" s="9"/>
      <c r="AU60" s="9"/>
      <c r="AV60" s="9"/>
      <c r="AW60" s="10"/>
      <c r="AY60" s="11"/>
    </row>
    <row r="61" spans="5:51" ht="60" customHeight="1" x14ac:dyDescent="0.2">
      <c r="E61" s="151">
        <f t="shared" si="32"/>
        <v>20332</v>
      </c>
      <c r="F61" s="170" t="s">
        <v>439</v>
      </c>
      <c r="G61" s="156"/>
      <c r="H61" s="157"/>
      <c r="I61" s="158"/>
      <c r="J61" s="159"/>
      <c r="K61" s="158"/>
      <c r="L61" s="159"/>
      <c r="M61" s="158"/>
      <c r="N61" s="159"/>
      <c r="O61" s="158"/>
      <c r="P61" s="159"/>
      <c r="Q61" s="165"/>
      <c r="R61" s="166"/>
      <c r="S61" s="156"/>
      <c r="T61" s="156"/>
      <c r="U61" s="171"/>
      <c r="V61" s="161">
        <v>1000000</v>
      </c>
      <c r="W61" s="158">
        <v>1000000</v>
      </c>
      <c r="X61" s="160"/>
      <c r="Y61" s="160">
        <f>W61</f>
        <v>1000000</v>
      </c>
      <c r="Z61" s="160"/>
      <c r="AA61" s="160"/>
      <c r="AB61" s="159"/>
      <c r="AC61" s="158">
        <f t="shared" si="24"/>
        <v>0</v>
      </c>
      <c r="AD61" s="160"/>
      <c r="AE61" s="160"/>
      <c r="AF61" s="157"/>
      <c r="AG61" s="157"/>
      <c r="AH61" s="159"/>
      <c r="AI61" s="35">
        <f t="shared" si="25"/>
        <v>0</v>
      </c>
      <c r="AJ61" s="11">
        <f t="shared" si="26"/>
        <v>1000000</v>
      </c>
      <c r="AK61" s="11">
        <f t="shared" si="27"/>
        <v>0</v>
      </c>
      <c r="AL61" s="11">
        <f t="shared" si="28"/>
        <v>0</v>
      </c>
      <c r="AM61" s="76">
        <f t="shared" si="29"/>
        <v>0</v>
      </c>
      <c r="AN61" s="51">
        <f t="shared" si="30"/>
        <v>1000000</v>
      </c>
      <c r="AO61" s="36"/>
      <c r="AP61" s="9"/>
      <c r="AQ61" s="9"/>
      <c r="AR61" s="9"/>
      <c r="AS61" s="9"/>
      <c r="AT61" s="9"/>
      <c r="AU61" s="9"/>
      <c r="AV61" s="9"/>
      <c r="AW61" s="10"/>
      <c r="AY61" s="11"/>
    </row>
    <row r="62" spans="5:51" ht="60" customHeight="1" x14ac:dyDescent="0.2">
      <c r="E62" s="151">
        <f t="shared" si="32"/>
        <v>20333</v>
      </c>
      <c r="F62" s="170" t="s">
        <v>440</v>
      </c>
      <c r="G62" s="156"/>
      <c r="H62" s="157"/>
      <c r="I62" s="158"/>
      <c r="J62" s="159"/>
      <c r="K62" s="158"/>
      <c r="L62" s="159"/>
      <c r="M62" s="158"/>
      <c r="N62" s="159"/>
      <c r="O62" s="158"/>
      <c r="P62" s="159"/>
      <c r="Q62" s="165"/>
      <c r="R62" s="166"/>
      <c r="S62" s="156"/>
      <c r="T62" s="156"/>
      <c r="U62" s="171"/>
      <c r="V62" s="161">
        <v>700000</v>
      </c>
      <c r="W62" s="158">
        <v>0</v>
      </c>
      <c r="X62" s="160"/>
      <c r="Y62" s="160">
        <f>W62</f>
        <v>0</v>
      </c>
      <c r="Z62" s="160"/>
      <c r="AA62" s="160"/>
      <c r="AB62" s="159"/>
      <c r="AC62" s="158">
        <f t="shared" si="24"/>
        <v>700000</v>
      </c>
      <c r="AD62" s="160"/>
      <c r="AE62" s="160">
        <f>AC62</f>
        <v>700000</v>
      </c>
      <c r="AF62" s="157"/>
      <c r="AG62" s="157"/>
      <c r="AH62" s="159"/>
      <c r="AI62" s="35">
        <f t="shared" si="25"/>
        <v>0</v>
      </c>
      <c r="AJ62" s="11">
        <f t="shared" si="26"/>
        <v>700000</v>
      </c>
      <c r="AK62" s="11">
        <f t="shared" si="27"/>
        <v>0</v>
      </c>
      <c r="AL62" s="11">
        <f t="shared" si="28"/>
        <v>0</v>
      </c>
      <c r="AM62" s="76">
        <f t="shared" si="29"/>
        <v>0</v>
      </c>
      <c r="AN62" s="51">
        <f t="shared" si="30"/>
        <v>700000</v>
      </c>
      <c r="AO62" s="36"/>
      <c r="AP62" s="9"/>
      <c r="AQ62" s="9"/>
      <c r="AR62" s="9"/>
      <c r="AS62" s="9"/>
      <c r="AT62" s="9"/>
      <c r="AU62" s="9"/>
      <c r="AV62" s="9"/>
      <c r="AW62" s="10"/>
      <c r="AY62" s="11"/>
    </row>
    <row r="63" spans="5:51" ht="60" customHeight="1" x14ac:dyDescent="0.2">
      <c r="E63" s="151">
        <f t="shared" si="32"/>
        <v>20334</v>
      </c>
      <c r="F63" s="170" t="s">
        <v>441</v>
      </c>
      <c r="G63" s="156"/>
      <c r="H63" s="157"/>
      <c r="I63" s="158"/>
      <c r="J63" s="159"/>
      <c r="K63" s="158"/>
      <c r="L63" s="159"/>
      <c r="M63" s="158"/>
      <c r="N63" s="159"/>
      <c r="O63" s="158"/>
      <c r="P63" s="159"/>
      <c r="Q63" s="165"/>
      <c r="R63" s="166"/>
      <c r="S63" s="156"/>
      <c r="T63" s="156"/>
      <c r="U63" s="171"/>
      <c r="V63" s="161">
        <v>6000000</v>
      </c>
      <c r="W63" s="158">
        <v>0</v>
      </c>
      <c r="X63" s="160"/>
      <c r="Y63" s="160"/>
      <c r="Z63" s="160">
        <f>W63</f>
        <v>0</v>
      </c>
      <c r="AA63" s="160"/>
      <c r="AB63" s="159"/>
      <c r="AC63" s="158">
        <f t="shared" si="24"/>
        <v>6000000</v>
      </c>
      <c r="AD63" s="160"/>
      <c r="AE63" s="160"/>
      <c r="AF63" s="157">
        <f>AC63</f>
        <v>6000000</v>
      </c>
      <c r="AG63" s="157"/>
      <c r="AH63" s="159"/>
      <c r="AI63" s="35">
        <f t="shared" si="25"/>
        <v>0</v>
      </c>
      <c r="AJ63" s="11">
        <f t="shared" si="26"/>
        <v>0</v>
      </c>
      <c r="AK63" s="11">
        <f t="shared" si="27"/>
        <v>6000000</v>
      </c>
      <c r="AL63" s="11">
        <f t="shared" si="28"/>
        <v>0</v>
      </c>
      <c r="AM63" s="76">
        <f t="shared" si="29"/>
        <v>0</v>
      </c>
      <c r="AN63" s="51">
        <f t="shared" si="30"/>
        <v>6000000</v>
      </c>
      <c r="AO63" s="36"/>
      <c r="AP63" s="9"/>
      <c r="AQ63" s="9"/>
      <c r="AR63" s="9"/>
      <c r="AS63" s="9"/>
      <c r="AT63" s="9"/>
      <c r="AU63" s="9"/>
      <c r="AV63" s="9"/>
      <c r="AW63" s="10"/>
      <c r="AY63" s="11"/>
    </row>
    <row r="64" spans="5:51" ht="60" customHeight="1" x14ac:dyDescent="0.2">
      <c r="E64" s="151">
        <f t="shared" si="32"/>
        <v>20335</v>
      </c>
      <c r="F64" s="170" t="s">
        <v>542</v>
      </c>
      <c r="G64" s="156"/>
      <c r="H64" s="157"/>
      <c r="I64" s="158"/>
      <c r="J64" s="159"/>
      <c r="K64" s="158"/>
      <c r="L64" s="159"/>
      <c r="M64" s="158"/>
      <c r="N64" s="159"/>
      <c r="O64" s="158"/>
      <c r="P64" s="159"/>
      <c r="Q64" s="165"/>
      <c r="R64" s="166"/>
      <c r="S64" s="156"/>
      <c r="T64" s="156"/>
      <c r="U64" s="171"/>
      <c r="V64" s="161">
        <v>7000000</v>
      </c>
      <c r="W64" s="172"/>
      <c r="X64" s="160"/>
      <c r="Y64" s="160"/>
      <c r="Z64" s="160"/>
      <c r="AA64" s="160"/>
      <c r="AB64" s="159"/>
      <c r="AC64" s="158">
        <f>V64</f>
        <v>7000000</v>
      </c>
      <c r="AD64" s="160"/>
      <c r="AE64" s="160"/>
      <c r="AF64" s="157">
        <f>AC64</f>
        <v>7000000</v>
      </c>
      <c r="AG64" s="157"/>
      <c r="AH64" s="159"/>
      <c r="AI64" s="35">
        <f t="shared" si="25"/>
        <v>0</v>
      </c>
      <c r="AJ64" s="11">
        <f t="shared" si="26"/>
        <v>0</v>
      </c>
      <c r="AK64" s="11">
        <f t="shared" si="27"/>
        <v>7000000</v>
      </c>
      <c r="AL64" s="11">
        <f t="shared" si="28"/>
        <v>0</v>
      </c>
      <c r="AM64" s="76">
        <f t="shared" si="29"/>
        <v>0</v>
      </c>
      <c r="AN64" s="51"/>
      <c r="AO64" s="36"/>
      <c r="AP64" s="9"/>
      <c r="AQ64" s="9"/>
      <c r="AR64" s="9"/>
      <c r="AS64" s="9"/>
      <c r="AT64" s="9"/>
      <c r="AU64" s="9"/>
      <c r="AV64" s="9"/>
      <c r="AW64" s="10"/>
      <c r="AY64" s="11"/>
    </row>
    <row r="65" spans="5:51" ht="60" customHeight="1" x14ac:dyDescent="0.2">
      <c r="E65" s="151">
        <f t="shared" si="32"/>
        <v>20336</v>
      </c>
      <c r="F65" s="170" t="s">
        <v>510</v>
      </c>
      <c r="G65" s="156"/>
      <c r="H65" s="157"/>
      <c r="I65" s="158"/>
      <c r="J65" s="159"/>
      <c r="K65" s="158"/>
      <c r="L65" s="159"/>
      <c r="M65" s="158"/>
      <c r="N65" s="159"/>
      <c r="O65" s="158"/>
      <c r="P65" s="159"/>
      <c r="Q65" s="165"/>
      <c r="R65" s="166"/>
      <c r="S65" s="156"/>
      <c r="T65" s="156"/>
      <c r="U65" s="171"/>
      <c r="V65" s="161">
        <v>1500000</v>
      </c>
      <c r="W65" s="158">
        <v>0</v>
      </c>
      <c r="X65" s="160"/>
      <c r="Y65" s="160"/>
      <c r="Z65" s="160">
        <f>W65</f>
        <v>0</v>
      </c>
      <c r="AA65" s="160"/>
      <c r="AB65" s="159"/>
      <c r="AC65" s="158">
        <f>V65-W65</f>
        <v>1500000</v>
      </c>
      <c r="AD65" s="160"/>
      <c r="AE65" s="160">
        <f>AC65</f>
        <v>1500000</v>
      </c>
      <c r="AF65" s="157"/>
      <c r="AG65" s="157"/>
      <c r="AH65" s="159"/>
      <c r="AI65" s="35">
        <f t="shared" si="25"/>
        <v>0</v>
      </c>
      <c r="AJ65" s="11">
        <f t="shared" si="26"/>
        <v>1500000</v>
      </c>
      <c r="AK65" s="11">
        <f t="shared" si="27"/>
        <v>0</v>
      </c>
      <c r="AL65" s="11">
        <f t="shared" si="28"/>
        <v>0</v>
      </c>
      <c r="AM65" s="76">
        <f t="shared" si="29"/>
        <v>0</v>
      </c>
      <c r="AN65" s="51">
        <f t="shared" si="30"/>
        <v>1500000</v>
      </c>
      <c r="AO65" s="36"/>
      <c r="AP65" s="9"/>
      <c r="AQ65" s="9"/>
      <c r="AR65" s="9"/>
      <c r="AS65" s="9"/>
      <c r="AT65" s="9"/>
      <c r="AU65" s="9"/>
      <c r="AV65" s="9"/>
      <c r="AW65" s="10"/>
      <c r="AY65" s="11"/>
    </row>
    <row r="66" spans="5:51" ht="60" customHeight="1" x14ac:dyDescent="0.2">
      <c r="E66" s="151">
        <f t="shared" si="32"/>
        <v>20337</v>
      </c>
      <c r="F66" s="170" t="s">
        <v>543</v>
      </c>
      <c r="G66" s="156"/>
      <c r="H66" s="157"/>
      <c r="I66" s="158"/>
      <c r="J66" s="159"/>
      <c r="K66" s="158"/>
      <c r="L66" s="159"/>
      <c r="M66" s="158"/>
      <c r="N66" s="159"/>
      <c r="O66" s="158"/>
      <c r="P66" s="159"/>
      <c r="Q66" s="165"/>
      <c r="R66" s="166"/>
      <c r="S66" s="156"/>
      <c r="T66" s="156"/>
      <c r="U66" s="171"/>
      <c r="V66" s="161">
        <v>30000000</v>
      </c>
      <c r="W66" s="158"/>
      <c r="X66" s="160"/>
      <c r="Y66" s="160"/>
      <c r="Z66" s="160"/>
      <c r="AA66" s="160"/>
      <c r="AB66" s="159"/>
      <c r="AC66" s="158">
        <f>V66</f>
        <v>30000000</v>
      </c>
      <c r="AD66" s="160"/>
      <c r="AE66" s="160">
        <f>AC66/2</f>
        <v>15000000</v>
      </c>
      <c r="AF66" s="157">
        <f>AC66/2</f>
        <v>15000000</v>
      </c>
      <c r="AG66" s="157"/>
      <c r="AH66" s="159"/>
      <c r="AI66" s="35">
        <f t="shared" si="25"/>
        <v>0</v>
      </c>
      <c r="AJ66" s="11">
        <f t="shared" si="26"/>
        <v>15000000</v>
      </c>
      <c r="AK66" s="11">
        <f t="shared" si="27"/>
        <v>15000000</v>
      </c>
      <c r="AL66" s="11">
        <f t="shared" si="28"/>
        <v>0</v>
      </c>
      <c r="AM66" s="76">
        <f t="shared" si="29"/>
        <v>0</v>
      </c>
      <c r="AN66" s="51"/>
      <c r="AO66" s="36"/>
      <c r="AP66" s="9"/>
      <c r="AQ66" s="9"/>
      <c r="AR66" s="9"/>
      <c r="AS66" s="9"/>
      <c r="AT66" s="9"/>
      <c r="AU66" s="9"/>
      <c r="AV66" s="9"/>
      <c r="AW66" s="10"/>
      <c r="AY66" s="11"/>
    </row>
    <row r="67" spans="5:51" ht="60" customHeight="1" x14ac:dyDescent="0.2">
      <c r="E67" s="149"/>
      <c r="F67" s="127" t="s">
        <v>32</v>
      </c>
      <c r="G67" s="118">
        <f t="shared" ref="G67:AN67" si="35">SUM(G30:G66)</f>
        <v>53300000</v>
      </c>
      <c r="H67" s="116">
        <f t="shared" si="35"/>
        <v>33578491</v>
      </c>
      <c r="I67" s="115">
        <f t="shared" si="35"/>
        <v>96450000</v>
      </c>
      <c r="J67" s="117">
        <f t="shared" si="35"/>
        <v>35931183</v>
      </c>
      <c r="K67" s="115">
        <f t="shared" si="35"/>
        <v>81200000</v>
      </c>
      <c r="L67" s="117">
        <f t="shared" si="35"/>
        <v>29281954</v>
      </c>
      <c r="M67" s="115">
        <f t="shared" si="35"/>
        <v>49150000</v>
      </c>
      <c r="N67" s="117">
        <f t="shared" si="35"/>
        <v>31015470</v>
      </c>
      <c r="O67" s="115">
        <f t="shared" si="35"/>
        <v>74253638</v>
      </c>
      <c r="P67" s="117">
        <f t="shared" si="35"/>
        <v>36273800</v>
      </c>
      <c r="Q67" s="115">
        <f t="shared" si="35"/>
        <v>25103638</v>
      </c>
      <c r="R67" s="117">
        <f t="shared" si="35"/>
        <v>5258330</v>
      </c>
      <c r="S67" s="118">
        <f t="shared" si="35"/>
        <v>70956587</v>
      </c>
      <c r="T67" s="118">
        <f t="shared" si="35"/>
        <v>500000</v>
      </c>
      <c r="U67" s="118">
        <f t="shared" si="35"/>
        <v>70456587</v>
      </c>
      <c r="V67" s="119">
        <f t="shared" si="35"/>
        <v>189900000</v>
      </c>
      <c r="W67" s="115">
        <f t="shared" si="35"/>
        <v>44550000</v>
      </c>
      <c r="X67" s="120">
        <f t="shared" si="35"/>
        <v>22550000</v>
      </c>
      <c r="Y67" s="120">
        <f t="shared" si="35"/>
        <v>2450000</v>
      </c>
      <c r="Z67" s="120">
        <f t="shared" si="35"/>
        <v>18500000</v>
      </c>
      <c r="AA67" s="120">
        <f t="shared" si="35"/>
        <v>1050000</v>
      </c>
      <c r="AB67" s="117">
        <f t="shared" si="35"/>
        <v>0</v>
      </c>
      <c r="AC67" s="115">
        <f t="shared" si="35"/>
        <v>145350000</v>
      </c>
      <c r="AD67" s="120">
        <f t="shared" si="35"/>
        <v>9450000</v>
      </c>
      <c r="AE67" s="120">
        <f t="shared" si="35"/>
        <v>45600000</v>
      </c>
      <c r="AF67" s="116">
        <f t="shared" si="35"/>
        <v>90300000</v>
      </c>
      <c r="AG67" s="116">
        <f t="shared" si="35"/>
        <v>0</v>
      </c>
      <c r="AH67" s="117">
        <f t="shared" si="35"/>
        <v>0</v>
      </c>
      <c r="AI67" s="47">
        <f t="shared" si="35"/>
        <v>32000000</v>
      </c>
      <c r="AJ67" s="10">
        <f t="shared" si="35"/>
        <v>48050000</v>
      </c>
      <c r="AK67" s="10">
        <f t="shared" si="35"/>
        <v>108800000</v>
      </c>
      <c r="AL67" s="10">
        <f t="shared" si="35"/>
        <v>1050000</v>
      </c>
      <c r="AM67" s="48">
        <f t="shared" si="35"/>
        <v>0</v>
      </c>
      <c r="AN67" s="52">
        <f t="shared" si="35"/>
        <v>120900000</v>
      </c>
      <c r="AO67" s="39">
        <f t="shared" ref="AO67:AV67" si="36">SUM(AO30:AO35)</f>
        <v>0</v>
      </c>
      <c r="AP67" s="10">
        <f t="shared" si="36"/>
        <v>0</v>
      </c>
      <c r="AQ67" s="10">
        <f t="shared" si="36"/>
        <v>0</v>
      </c>
      <c r="AR67" s="10">
        <f t="shared" si="36"/>
        <v>0</v>
      </c>
      <c r="AS67" s="10">
        <f t="shared" si="36"/>
        <v>0</v>
      </c>
      <c r="AT67" s="10">
        <f t="shared" si="36"/>
        <v>0</v>
      </c>
      <c r="AU67" s="10">
        <f t="shared" si="36"/>
        <v>0</v>
      </c>
      <c r="AV67" s="10">
        <f t="shared" si="36"/>
        <v>0</v>
      </c>
      <c r="AW67" s="10">
        <f>AP67-AQ67-AV67</f>
        <v>0</v>
      </c>
      <c r="AY67" s="11">
        <f>V67-W67-AC67</f>
        <v>0</v>
      </c>
    </row>
    <row r="68" spans="5:51" s="27" customFormat="1" ht="60" customHeight="1" x14ac:dyDescent="0.2">
      <c r="E68" s="151">
        <v>20400</v>
      </c>
      <c r="F68" s="155" t="s">
        <v>399</v>
      </c>
      <c r="G68" s="156"/>
      <c r="H68" s="157"/>
      <c r="I68" s="158"/>
      <c r="J68" s="159"/>
      <c r="K68" s="158"/>
      <c r="L68" s="159"/>
      <c r="M68" s="158"/>
      <c r="N68" s="159"/>
      <c r="O68" s="158"/>
      <c r="P68" s="159"/>
      <c r="Q68" s="158"/>
      <c r="R68" s="159"/>
      <c r="S68" s="156"/>
      <c r="T68" s="160"/>
      <c r="U68" s="157"/>
      <c r="V68" s="161"/>
      <c r="W68" s="158"/>
      <c r="X68" s="160"/>
      <c r="Y68" s="160"/>
      <c r="Z68" s="160"/>
      <c r="AA68" s="160"/>
      <c r="AB68" s="159"/>
      <c r="AC68" s="158"/>
      <c r="AD68" s="160"/>
      <c r="AE68" s="160"/>
      <c r="AF68" s="157"/>
      <c r="AG68" s="157"/>
      <c r="AH68" s="159"/>
      <c r="AI68" s="45"/>
      <c r="AJ68" s="9"/>
      <c r="AK68" s="9"/>
      <c r="AL68" s="9"/>
      <c r="AM68" s="46"/>
      <c r="AN68" s="50"/>
      <c r="AO68" s="36"/>
      <c r="AP68" s="9"/>
      <c r="AQ68" s="9"/>
      <c r="AR68" s="9"/>
      <c r="AS68" s="9"/>
      <c r="AT68" s="9"/>
      <c r="AU68" s="9"/>
      <c r="AV68" s="9"/>
      <c r="AW68" s="10">
        <f>AP68-AQ68-AV68</f>
        <v>0</v>
      </c>
      <c r="AY68" s="11">
        <f>V68-W68-AC68</f>
        <v>0</v>
      </c>
    </row>
    <row r="69" spans="5:51" s="27" customFormat="1" ht="60" customHeight="1" x14ac:dyDescent="0.2">
      <c r="E69" s="151">
        <f>E68+1</f>
        <v>20401</v>
      </c>
      <c r="F69" s="170" t="s">
        <v>33</v>
      </c>
      <c r="G69" s="156">
        <v>480000</v>
      </c>
      <c r="H69" s="157">
        <v>477500</v>
      </c>
      <c r="I69" s="158">
        <v>505000</v>
      </c>
      <c r="J69" s="159">
        <f>37500+232500+232500</f>
        <v>502500</v>
      </c>
      <c r="K69" s="158">
        <v>500000</v>
      </c>
      <c r="L69" s="159">
        <v>362500</v>
      </c>
      <c r="M69" s="158">
        <v>500000</v>
      </c>
      <c r="N69" s="159">
        <v>937190</v>
      </c>
      <c r="O69" s="158">
        <v>957500</v>
      </c>
      <c r="P69" s="159">
        <v>857500</v>
      </c>
      <c r="Q69" s="165">
        <f>O69-M69</f>
        <v>457500</v>
      </c>
      <c r="R69" s="166">
        <f>P69-N69</f>
        <v>-79690</v>
      </c>
      <c r="S69" s="156">
        <v>619251</v>
      </c>
      <c r="T69" s="160">
        <f>0.7*S69</f>
        <v>433475.69999999995</v>
      </c>
      <c r="U69" s="164">
        <f>S69-T69</f>
        <v>185775.30000000005</v>
      </c>
      <c r="V69" s="161">
        <v>600000</v>
      </c>
      <c r="W69" s="158">
        <v>600000</v>
      </c>
      <c r="X69" s="160">
        <v>480000</v>
      </c>
      <c r="Y69" s="160"/>
      <c r="Z69" s="160"/>
      <c r="AA69" s="160">
        <f>W69-X69</f>
        <v>120000</v>
      </c>
      <c r="AB69" s="159"/>
      <c r="AC69" s="158">
        <f>V69-W69</f>
        <v>0</v>
      </c>
      <c r="AD69" s="160"/>
      <c r="AE69" s="160"/>
      <c r="AF69" s="157"/>
      <c r="AG69" s="157"/>
      <c r="AH69" s="159"/>
      <c r="AI69" s="35">
        <f t="shared" ref="AI69:AM70" si="37">AD69+X69</f>
        <v>480000</v>
      </c>
      <c r="AJ69" s="11">
        <f t="shared" si="37"/>
        <v>0</v>
      </c>
      <c r="AK69" s="11">
        <f t="shared" si="37"/>
        <v>0</v>
      </c>
      <c r="AL69" s="11">
        <f t="shared" si="37"/>
        <v>120000</v>
      </c>
      <c r="AM69" s="76">
        <f t="shared" si="37"/>
        <v>0</v>
      </c>
      <c r="AN69" s="51">
        <f>SUM(AJ69:AM69)</f>
        <v>120000</v>
      </c>
      <c r="AO69" s="36"/>
      <c r="AP69" s="9"/>
      <c r="AQ69" s="9"/>
      <c r="AR69" s="9"/>
      <c r="AS69" s="9"/>
      <c r="AT69" s="9"/>
      <c r="AU69" s="9"/>
      <c r="AV69" s="9">
        <f>AU69+AT69+AS69+AR69</f>
        <v>0</v>
      </c>
      <c r="AW69" s="10">
        <f>AP69-AQ69-AV69</f>
        <v>0</v>
      </c>
      <c r="AY69" s="11">
        <f>V69-W69-AC69</f>
        <v>0</v>
      </c>
    </row>
    <row r="70" spans="5:51" s="27" customFormat="1" ht="60" customHeight="1" x14ac:dyDescent="0.2">
      <c r="E70" s="151">
        <f>E69+1</f>
        <v>20402</v>
      </c>
      <c r="F70" s="170" t="s">
        <v>406</v>
      </c>
      <c r="G70" s="156">
        <v>650000</v>
      </c>
      <c r="H70" s="157">
        <v>0</v>
      </c>
      <c r="I70" s="158">
        <v>650000</v>
      </c>
      <c r="J70" s="159">
        <v>0</v>
      </c>
      <c r="K70" s="158"/>
      <c r="L70" s="159"/>
      <c r="M70" s="158"/>
      <c r="N70" s="159"/>
      <c r="O70" s="158">
        <v>500000</v>
      </c>
      <c r="P70" s="159"/>
      <c r="Q70" s="165">
        <f>O70-M70</f>
        <v>500000</v>
      </c>
      <c r="R70" s="166">
        <f>P70-N70</f>
        <v>0</v>
      </c>
      <c r="S70" s="156"/>
      <c r="T70" s="160"/>
      <c r="U70" s="164"/>
      <c r="V70" s="161">
        <v>500000</v>
      </c>
      <c r="W70" s="158">
        <v>500000</v>
      </c>
      <c r="X70" s="160">
        <v>400000</v>
      </c>
      <c r="Y70" s="160"/>
      <c r="Z70" s="160"/>
      <c r="AA70" s="160">
        <f>W70-X70</f>
        <v>100000</v>
      </c>
      <c r="AB70" s="159"/>
      <c r="AC70" s="158">
        <f>V70-W70</f>
        <v>0</v>
      </c>
      <c r="AD70" s="160"/>
      <c r="AE70" s="160"/>
      <c r="AF70" s="157"/>
      <c r="AG70" s="157"/>
      <c r="AH70" s="159"/>
      <c r="AI70" s="35">
        <f t="shared" si="37"/>
        <v>400000</v>
      </c>
      <c r="AJ70" s="11">
        <f t="shared" si="37"/>
        <v>0</v>
      </c>
      <c r="AK70" s="11">
        <f t="shared" si="37"/>
        <v>0</v>
      </c>
      <c r="AL70" s="11">
        <f t="shared" si="37"/>
        <v>100000</v>
      </c>
      <c r="AM70" s="76">
        <f t="shared" si="37"/>
        <v>0</v>
      </c>
      <c r="AN70" s="51">
        <f t="shared" ref="AN70:AN84" si="38">SUM(AJ70:AM70)</f>
        <v>100000</v>
      </c>
      <c r="AO70" s="36"/>
      <c r="AP70" s="9"/>
      <c r="AQ70" s="9"/>
      <c r="AR70" s="9"/>
      <c r="AS70" s="9"/>
      <c r="AT70" s="9"/>
      <c r="AU70" s="9"/>
      <c r="AV70" s="9"/>
      <c r="AW70" s="10"/>
      <c r="AY70" s="11"/>
    </row>
    <row r="71" spans="5:51" s="27" customFormat="1" ht="60" customHeight="1" x14ac:dyDescent="0.2">
      <c r="E71" s="149"/>
      <c r="F71" s="127" t="s">
        <v>34</v>
      </c>
      <c r="G71" s="118">
        <f t="shared" ref="G71:AM71" si="39">SUM(G69:G70)</f>
        <v>1130000</v>
      </c>
      <c r="H71" s="116">
        <f t="shared" si="39"/>
        <v>477500</v>
      </c>
      <c r="I71" s="115">
        <f t="shared" si="39"/>
        <v>1155000</v>
      </c>
      <c r="J71" s="117">
        <f t="shared" si="39"/>
        <v>502500</v>
      </c>
      <c r="K71" s="115">
        <f t="shared" si="39"/>
        <v>500000</v>
      </c>
      <c r="L71" s="117">
        <f t="shared" si="39"/>
        <v>362500</v>
      </c>
      <c r="M71" s="115">
        <f t="shared" si="39"/>
        <v>500000</v>
      </c>
      <c r="N71" s="117">
        <f t="shared" si="39"/>
        <v>937190</v>
      </c>
      <c r="O71" s="115">
        <f t="shared" si="39"/>
        <v>1457500</v>
      </c>
      <c r="P71" s="117">
        <f t="shared" si="39"/>
        <v>857500</v>
      </c>
      <c r="Q71" s="115">
        <f t="shared" si="39"/>
        <v>957500</v>
      </c>
      <c r="R71" s="117">
        <f t="shared" si="39"/>
        <v>-79690</v>
      </c>
      <c r="S71" s="118">
        <f t="shared" si="39"/>
        <v>619251</v>
      </c>
      <c r="T71" s="118">
        <f t="shared" si="39"/>
        <v>433475.69999999995</v>
      </c>
      <c r="U71" s="118">
        <f t="shared" si="39"/>
        <v>185775.30000000005</v>
      </c>
      <c r="V71" s="119">
        <f t="shared" si="39"/>
        <v>1100000</v>
      </c>
      <c r="W71" s="115">
        <f t="shared" si="39"/>
        <v>1100000</v>
      </c>
      <c r="X71" s="120">
        <f t="shared" si="39"/>
        <v>880000</v>
      </c>
      <c r="Y71" s="120">
        <f t="shared" si="39"/>
        <v>0</v>
      </c>
      <c r="Z71" s="120">
        <f t="shared" si="39"/>
        <v>0</v>
      </c>
      <c r="AA71" s="120">
        <f t="shared" si="39"/>
        <v>220000</v>
      </c>
      <c r="AB71" s="117">
        <f t="shared" si="39"/>
        <v>0</v>
      </c>
      <c r="AC71" s="115">
        <f t="shared" si="39"/>
        <v>0</v>
      </c>
      <c r="AD71" s="120">
        <f t="shared" si="39"/>
        <v>0</v>
      </c>
      <c r="AE71" s="120">
        <f t="shared" si="39"/>
        <v>0</v>
      </c>
      <c r="AF71" s="116">
        <f t="shared" si="39"/>
        <v>0</v>
      </c>
      <c r="AG71" s="116">
        <f t="shared" si="39"/>
        <v>0</v>
      </c>
      <c r="AH71" s="117">
        <f t="shared" si="39"/>
        <v>0</v>
      </c>
      <c r="AI71" s="47">
        <f t="shared" si="39"/>
        <v>880000</v>
      </c>
      <c r="AJ71" s="10">
        <f t="shared" si="39"/>
        <v>0</v>
      </c>
      <c r="AK71" s="10">
        <f t="shared" si="39"/>
        <v>0</v>
      </c>
      <c r="AL71" s="10">
        <f t="shared" si="39"/>
        <v>220000</v>
      </c>
      <c r="AM71" s="48">
        <f t="shared" si="39"/>
        <v>0</v>
      </c>
      <c r="AN71" s="51">
        <f t="shared" si="38"/>
        <v>220000</v>
      </c>
      <c r="AO71" s="39">
        <f t="shared" ref="AO71:AV71" si="40">SUM(AO69:AO70)</f>
        <v>0</v>
      </c>
      <c r="AP71" s="10">
        <f t="shared" si="40"/>
        <v>0</v>
      </c>
      <c r="AQ71" s="10">
        <f t="shared" si="40"/>
        <v>0</v>
      </c>
      <c r="AR71" s="10">
        <f t="shared" si="40"/>
        <v>0</v>
      </c>
      <c r="AS71" s="10">
        <f t="shared" si="40"/>
        <v>0</v>
      </c>
      <c r="AT71" s="10">
        <f t="shared" si="40"/>
        <v>0</v>
      </c>
      <c r="AU71" s="10">
        <f t="shared" si="40"/>
        <v>0</v>
      </c>
      <c r="AV71" s="10">
        <f t="shared" si="40"/>
        <v>0</v>
      </c>
      <c r="AW71" s="10">
        <f>AP71-AQ71-AV71</f>
        <v>0</v>
      </c>
      <c r="AY71" s="11">
        <f>V71-W71-AC71</f>
        <v>0</v>
      </c>
    </row>
    <row r="72" spans="5:51" s="27" customFormat="1" ht="60" customHeight="1" x14ac:dyDescent="0.2">
      <c r="E72" s="151">
        <v>20500</v>
      </c>
      <c r="F72" s="155" t="s">
        <v>35</v>
      </c>
      <c r="G72" s="156"/>
      <c r="H72" s="157"/>
      <c r="I72" s="158"/>
      <c r="J72" s="159"/>
      <c r="K72" s="158"/>
      <c r="L72" s="159"/>
      <c r="M72" s="158"/>
      <c r="N72" s="159"/>
      <c r="O72" s="158"/>
      <c r="P72" s="159"/>
      <c r="Q72" s="158"/>
      <c r="R72" s="159"/>
      <c r="S72" s="156"/>
      <c r="T72" s="160"/>
      <c r="U72" s="157"/>
      <c r="V72" s="161"/>
      <c r="W72" s="158"/>
      <c r="X72" s="160"/>
      <c r="Y72" s="160"/>
      <c r="Z72" s="160"/>
      <c r="AA72" s="160"/>
      <c r="AB72" s="159"/>
      <c r="AC72" s="158"/>
      <c r="AD72" s="160"/>
      <c r="AE72" s="160"/>
      <c r="AF72" s="157"/>
      <c r="AG72" s="157"/>
      <c r="AH72" s="159"/>
      <c r="AI72" s="45"/>
      <c r="AJ72" s="9"/>
      <c r="AK72" s="9"/>
      <c r="AL72" s="9"/>
      <c r="AM72" s="46"/>
      <c r="AN72" s="51">
        <f t="shared" si="38"/>
        <v>0</v>
      </c>
      <c r="AO72" s="36"/>
      <c r="AP72" s="9"/>
      <c r="AQ72" s="9"/>
      <c r="AR72" s="9"/>
      <c r="AS72" s="9"/>
      <c r="AT72" s="9"/>
      <c r="AU72" s="9"/>
      <c r="AV72" s="9"/>
      <c r="AW72" s="10">
        <f>AP72-AQ72-AV72</f>
        <v>0</v>
      </c>
      <c r="AY72" s="11">
        <f>V72-W72-AC72</f>
        <v>0</v>
      </c>
    </row>
    <row r="73" spans="5:51" s="27" customFormat="1" ht="60" customHeight="1" x14ac:dyDescent="0.2">
      <c r="E73" s="151">
        <f>E72+1</f>
        <v>20501</v>
      </c>
      <c r="F73" s="162" t="s">
        <v>36</v>
      </c>
      <c r="G73" s="156"/>
      <c r="H73" s="157"/>
      <c r="I73" s="158">
        <v>200000</v>
      </c>
      <c r="J73" s="159">
        <f>I73</f>
        <v>200000</v>
      </c>
      <c r="K73" s="158">
        <v>200000</v>
      </c>
      <c r="L73" s="159">
        <v>200000</v>
      </c>
      <c r="M73" s="158">
        <v>400000</v>
      </c>
      <c r="N73" s="159">
        <v>400000</v>
      </c>
      <c r="O73" s="158">
        <v>800000</v>
      </c>
      <c r="P73" s="159">
        <v>300000</v>
      </c>
      <c r="Q73" s="165">
        <f>O73-M73</f>
        <v>400000</v>
      </c>
      <c r="R73" s="166">
        <f>P73-N73</f>
        <v>-100000</v>
      </c>
      <c r="S73" s="156">
        <v>597492</v>
      </c>
      <c r="T73" s="160"/>
      <c r="U73" s="164">
        <f>S73</f>
        <v>597492</v>
      </c>
      <c r="V73" s="161">
        <v>800000</v>
      </c>
      <c r="W73" s="158">
        <v>300000</v>
      </c>
      <c r="X73" s="160"/>
      <c r="Y73" s="160"/>
      <c r="Z73" s="160">
        <f>W73</f>
        <v>300000</v>
      </c>
      <c r="AA73" s="160"/>
      <c r="AB73" s="159"/>
      <c r="AC73" s="158">
        <f t="shared" ref="AC73:AC84" si="41">V73-W73</f>
        <v>500000</v>
      </c>
      <c r="AD73" s="160"/>
      <c r="AE73" s="160"/>
      <c r="AF73" s="157">
        <f>AC73</f>
        <v>500000</v>
      </c>
      <c r="AG73" s="157"/>
      <c r="AH73" s="159"/>
      <c r="AI73" s="35">
        <f t="shared" ref="AI73:AI84" si="42">AD73+X73</f>
        <v>0</v>
      </c>
      <c r="AJ73" s="11">
        <f t="shared" ref="AJ73:AJ84" si="43">AE73+Y73</f>
        <v>0</v>
      </c>
      <c r="AK73" s="11">
        <f t="shared" ref="AK73:AK84" si="44">AF73+Z73</f>
        <v>800000</v>
      </c>
      <c r="AL73" s="11">
        <f t="shared" ref="AL73:AL84" si="45">AG73+AA73</f>
        <v>0</v>
      </c>
      <c r="AM73" s="76">
        <f t="shared" ref="AM73:AM84" si="46">AH73+AB73</f>
        <v>0</v>
      </c>
      <c r="AN73" s="51">
        <f t="shared" si="38"/>
        <v>800000</v>
      </c>
      <c r="AO73" s="36"/>
      <c r="AP73" s="9"/>
      <c r="AQ73" s="9"/>
      <c r="AR73" s="9"/>
      <c r="AS73" s="9"/>
      <c r="AT73" s="9"/>
      <c r="AU73" s="9"/>
      <c r="AV73" s="9">
        <f>AU73+AT73+AS73+AR73</f>
        <v>0</v>
      </c>
      <c r="AW73" s="10">
        <f>AP73-AQ73-AV73</f>
        <v>0</v>
      </c>
      <c r="AY73" s="11">
        <f>V73-W73-AC73</f>
        <v>0</v>
      </c>
    </row>
    <row r="74" spans="5:51" s="27" customFormat="1" ht="60" customHeight="1" x14ac:dyDescent="0.2">
      <c r="E74" s="151">
        <f t="shared" ref="E74:E84" si="47">E73+1</f>
        <v>20502</v>
      </c>
      <c r="F74" s="162" t="s">
        <v>407</v>
      </c>
      <c r="G74" s="156"/>
      <c r="H74" s="157"/>
      <c r="I74" s="158"/>
      <c r="J74" s="159"/>
      <c r="K74" s="158"/>
      <c r="L74" s="159"/>
      <c r="M74" s="158"/>
      <c r="N74" s="159"/>
      <c r="O74" s="158">
        <v>500000</v>
      </c>
      <c r="P74" s="159"/>
      <c r="Q74" s="165">
        <f t="shared" ref="Q74:R76" si="48">O74-M74</f>
        <v>500000</v>
      </c>
      <c r="R74" s="166">
        <f t="shared" si="48"/>
        <v>0</v>
      </c>
      <c r="S74" s="156"/>
      <c r="T74" s="160"/>
      <c r="U74" s="157"/>
      <c r="V74" s="161">
        <v>500000</v>
      </c>
      <c r="W74" s="158">
        <v>0</v>
      </c>
      <c r="X74" s="160"/>
      <c r="Y74" s="160"/>
      <c r="Z74" s="160">
        <f>W74</f>
        <v>0</v>
      </c>
      <c r="AA74" s="160"/>
      <c r="AB74" s="159"/>
      <c r="AC74" s="158">
        <f t="shared" si="41"/>
        <v>500000</v>
      </c>
      <c r="AD74" s="160"/>
      <c r="AE74" s="160">
        <f>AC74</f>
        <v>500000</v>
      </c>
      <c r="AF74" s="157"/>
      <c r="AG74" s="157"/>
      <c r="AH74" s="159"/>
      <c r="AI74" s="35">
        <f t="shared" si="42"/>
        <v>0</v>
      </c>
      <c r="AJ74" s="11">
        <f t="shared" si="43"/>
        <v>500000</v>
      </c>
      <c r="AK74" s="11">
        <f t="shared" si="44"/>
        <v>0</v>
      </c>
      <c r="AL74" s="11">
        <f t="shared" si="45"/>
        <v>0</v>
      </c>
      <c r="AM74" s="76">
        <f t="shared" si="46"/>
        <v>0</v>
      </c>
      <c r="AN74" s="51">
        <f t="shared" si="38"/>
        <v>500000</v>
      </c>
      <c r="AO74" s="36"/>
      <c r="AP74" s="9"/>
      <c r="AQ74" s="9"/>
      <c r="AR74" s="9"/>
      <c r="AS74" s="9"/>
      <c r="AT74" s="9"/>
      <c r="AU74" s="9"/>
      <c r="AV74" s="9"/>
      <c r="AW74" s="10"/>
      <c r="AY74" s="11"/>
    </row>
    <row r="75" spans="5:51" s="27" customFormat="1" ht="60" customHeight="1" x14ac:dyDescent="0.2">
      <c r="E75" s="151">
        <f t="shared" si="47"/>
        <v>20503</v>
      </c>
      <c r="F75" s="162" t="s">
        <v>408</v>
      </c>
      <c r="G75" s="156"/>
      <c r="H75" s="157"/>
      <c r="I75" s="158">
        <v>200000</v>
      </c>
      <c r="J75" s="159">
        <v>0</v>
      </c>
      <c r="K75" s="158"/>
      <c r="L75" s="159"/>
      <c r="M75" s="158"/>
      <c r="N75" s="159"/>
      <c r="O75" s="158">
        <v>700000</v>
      </c>
      <c r="P75" s="159"/>
      <c r="Q75" s="165">
        <f t="shared" si="48"/>
        <v>700000</v>
      </c>
      <c r="R75" s="166">
        <f t="shared" si="48"/>
        <v>0</v>
      </c>
      <c r="S75" s="156"/>
      <c r="T75" s="160"/>
      <c r="U75" s="157"/>
      <c r="V75" s="161">
        <v>700000</v>
      </c>
      <c r="W75" s="158">
        <v>0</v>
      </c>
      <c r="X75" s="160"/>
      <c r="Y75" s="160"/>
      <c r="Z75" s="160">
        <f>W75</f>
        <v>0</v>
      </c>
      <c r="AA75" s="160"/>
      <c r="AB75" s="159"/>
      <c r="AC75" s="158">
        <f t="shared" si="41"/>
        <v>700000</v>
      </c>
      <c r="AD75" s="160"/>
      <c r="AE75" s="160"/>
      <c r="AF75" s="157">
        <f>AC75</f>
        <v>700000</v>
      </c>
      <c r="AG75" s="157"/>
      <c r="AH75" s="159"/>
      <c r="AI75" s="35">
        <f t="shared" si="42"/>
        <v>0</v>
      </c>
      <c r="AJ75" s="11">
        <f t="shared" si="43"/>
        <v>0</v>
      </c>
      <c r="AK75" s="11">
        <f t="shared" si="44"/>
        <v>700000</v>
      </c>
      <c r="AL75" s="11">
        <f t="shared" si="45"/>
        <v>0</v>
      </c>
      <c r="AM75" s="76">
        <f t="shared" si="46"/>
        <v>0</v>
      </c>
      <c r="AN75" s="51">
        <f t="shared" si="38"/>
        <v>700000</v>
      </c>
      <c r="AO75" s="36"/>
      <c r="AP75" s="9"/>
      <c r="AQ75" s="9"/>
      <c r="AR75" s="9"/>
      <c r="AS75" s="9"/>
      <c r="AT75" s="9"/>
      <c r="AU75" s="9"/>
      <c r="AV75" s="9"/>
      <c r="AW75" s="10"/>
      <c r="AY75" s="11"/>
    </row>
    <row r="76" spans="5:51" s="27" customFormat="1" ht="60" customHeight="1" x14ac:dyDescent="0.2">
      <c r="E76" s="151">
        <f t="shared" si="47"/>
        <v>20504</v>
      </c>
      <c r="F76" s="170" t="s">
        <v>409</v>
      </c>
      <c r="G76" s="156"/>
      <c r="H76" s="157"/>
      <c r="I76" s="158"/>
      <c r="J76" s="159"/>
      <c r="K76" s="158"/>
      <c r="L76" s="159"/>
      <c r="M76" s="158"/>
      <c r="N76" s="159"/>
      <c r="O76" s="158">
        <v>300000</v>
      </c>
      <c r="P76" s="159">
        <v>300000</v>
      </c>
      <c r="Q76" s="165">
        <f t="shared" si="48"/>
        <v>300000</v>
      </c>
      <c r="R76" s="166">
        <f t="shared" si="48"/>
        <v>300000</v>
      </c>
      <c r="S76" s="156">
        <v>300000</v>
      </c>
      <c r="T76" s="160"/>
      <c r="U76" s="157">
        <f>S76</f>
        <v>300000</v>
      </c>
      <c r="V76" s="161">
        <v>700000</v>
      </c>
      <c r="W76" s="158">
        <v>0</v>
      </c>
      <c r="X76" s="160"/>
      <c r="Y76" s="160"/>
      <c r="Z76" s="160">
        <f>W76</f>
        <v>0</v>
      </c>
      <c r="AA76" s="160"/>
      <c r="AB76" s="159"/>
      <c r="AC76" s="158">
        <f t="shared" si="41"/>
        <v>700000</v>
      </c>
      <c r="AD76" s="160"/>
      <c r="AE76" s="160"/>
      <c r="AF76" s="157">
        <f>AC76</f>
        <v>700000</v>
      </c>
      <c r="AG76" s="157"/>
      <c r="AH76" s="159"/>
      <c r="AI76" s="35">
        <f t="shared" si="42"/>
        <v>0</v>
      </c>
      <c r="AJ76" s="11">
        <f t="shared" si="43"/>
        <v>0</v>
      </c>
      <c r="AK76" s="11">
        <f t="shared" si="44"/>
        <v>700000</v>
      </c>
      <c r="AL76" s="11">
        <f t="shared" si="45"/>
        <v>0</v>
      </c>
      <c r="AM76" s="76">
        <f t="shared" si="46"/>
        <v>0</v>
      </c>
      <c r="AN76" s="51">
        <f t="shared" si="38"/>
        <v>700000</v>
      </c>
      <c r="AO76" s="36"/>
      <c r="AP76" s="9"/>
      <c r="AQ76" s="9"/>
      <c r="AR76" s="9"/>
      <c r="AS76" s="9"/>
      <c r="AT76" s="9"/>
      <c r="AU76" s="9"/>
      <c r="AV76" s="9"/>
      <c r="AW76" s="10"/>
      <c r="AY76" s="11"/>
    </row>
    <row r="77" spans="5:51" s="27" customFormat="1" ht="60" customHeight="1" x14ac:dyDescent="0.2">
      <c r="E77" s="151">
        <f t="shared" si="47"/>
        <v>20505</v>
      </c>
      <c r="F77" s="170" t="s">
        <v>442</v>
      </c>
      <c r="G77" s="156"/>
      <c r="H77" s="157"/>
      <c r="I77" s="158"/>
      <c r="J77" s="159"/>
      <c r="K77" s="158"/>
      <c r="L77" s="159"/>
      <c r="M77" s="158"/>
      <c r="N77" s="159"/>
      <c r="O77" s="158"/>
      <c r="P77" s="159"/>
      <c r="Q77" s="165"/>
      <c r="R77" s="166"/>
      <c r="S77" s="156"/>
      <c r="T77" s="160"/>
      <c r="U77" s="157"/>
      <c r="V77" s="161">
        <v>8000000</v>
      </c>
      <c r="W77" s="158">
        <v>0</v>
      </c>
      <c r="X77" s="160"/>
      <c r="Y77" s="160">
        <f>W77/2</f>
        <v>0</v>
      </c>
      <c r="Z77" s="160">
        <f>W77/2</f>
        <v>0</v>
      </c>
      <c r="AA77" s="160"/>
      <c r="AB77" s="159"/>
      <c r="AC77" s="158">
        <f t="shared" si="41"/>
        <v>8000000</v>
      </c>
      <c r="AD77" s="160"/>
      <c r="AE77" s="160">
        <f>AC77/2</f>
        <v>4000000</v>
      </c>
      <c r="AF77" s="157">
        <f>AC77-AE77</f>
        <v>4000000</v>
      </c>
      <c r="AG77" s="157"/>
      <c r="AH77" s="159"/>
      <c r="AI77" s="35">
        <f t="shared" si="42"/>
        <v>0</v>
      </c>
      <c r="AJ77" s="11">
        <f t="shared" si="43"/>
        <v>4000000</v>
      </c>
      <c r="AK77" s="11">
        <f t="shared" si="44"/>
        <v>4000000</v>
      </c>
      <c r="AL77" s="11">
        <f t="shared" si="45"/>
        <v>0</v>
      </c>
      <c r="AM77" s="76">
        <f t="shared" si="46"/>
        <v>0</v>
      </c>
      <c r="AN77" s="51">
        <f t="shared" si="38"/>
        <v>8000000</v>
      </c>
      <c r="AO77" s="36"/>
      <c r="AP77" s="9"/>
      <c r="AQ77" s="9"/>
      <c r="AR77" s="9"/>
      <c r="AS77" s="9"/>
      <c r="AT77" s="9"/>
      <c r="AU77" s="9"/>
      <c r="AV77" s="9"/>
      <c r="AW77" s="10"/>
      <c r="AY77" s="11"/>
    </row>
    <row r="78" spans="5:51" s="27" customFormat="1" ht="60" customHeight="1" x14ac:dyDescent="0.2">
      <c r="E78" s="151">
        <f t="shared" si="47"/>
        <v>20506</v>
      </c>
      <c r="F78" s="162" t="s">
        <v>541</v>
      </c>
      <c r="G78" s="156"/>
      <c r="H78" s="157"/>
      <c r="I78" s="158"/>
      <c r="J78" s="159"/>
      <c r="K78" s="158"/>
      <c r="L78" s="159"/>
      <c r="M78" s="158"/>
      <c r="N78" s="159"/>
      <c r="O78" s="158"/>
      <c r="P78" s="159"/>
      <c r="Q78" s="165"/>
      <c r="R78" s="166"/>
      <c r="S78" s="156"/>
      <c r="T78" s="160"/>
      <c r="U78" s="157"/>
      <c r="V78" s="161">
        <v>4000000</v>
      </c>
      <c r="W78" s="158">
        <v>0</v>
      </c>
      <c r="X78" s="160"/>
      <c r="Y78" s="160"/>
      <c r="Z78" s="160"/>
      <c r="AA78" s="160"/>
      <c r="AB78" s="159"/>
      <c r="AC78" s="158">
        <f t="shared" si="41"/>
        <v>4000000</v>
      </c>
      <c r="AD78" s="160"/>
      <c r="AE78" s="160"/>
      <c r="AF78" s="157">
        <f>AC78</f>
        <v>4000000</v>
      </c>
      <c r="AG78" s="157"/>
      <c r="AH78" s="159"/>
      <c r="AI78" s="35">
        <f t="shared" si="42"/>
        <v>0</v>
      </c>
      <c r="AJ78" s="11">
        <f t="shared" si="43"/>
        <v>0</v>
      </c>
      <c r="AK78" s="11">
        <f t="shared" si="44"/>
        <v>4000000</v>
      </c>
      <c r="AL78" s="11">
        <f t="shared" si="45"/>
        <v>0</v>
      </c>
      <c r="AM78" s="76">
        <f t="shared" si="46"/>
        <v>0</v>
      </c>
      <c r="AN78" s="51"/>
      <c r="AO78" s="36"/>
      <c r="AP78" s="9"/>
      <c r="AQ78" s="9"/>
      <c r="AR78" s="9"/>
      <c r="AS78" s="9"/>
      <c r="AT78" s="9"/>
      <c r="AU78" s="9"/>
      <c r="AV78" s="9"/>
      <c r="AW78" s="10"/>
      <c r="AY78" s="11"/>
    </row>
    <row r="79" spans="5:51" s="27" customFormat="1" ht="60" customHeight="1" x14ac:dyDescent="0.2">
      <c r="E79" s="151">
        <f t="shared" si="47"/>
        <v>20507</v>
      </c>
      <c r="F79" s="162" t="s">
        <v>443</v>
      </c>
      <c r="G79" s="156"/>
      <c r="H79" s="157"/>
      <c r="I79" s="158"/>
      <c r="J79" s="159"/>
      <c r="K79" s="158"/>
      <c r="L79" s="159"/>
      <c r="M79" s="158"/>
      <c r="N79" s="159"/>
      <c r="O79" s="158"/>
      <c r="P79" s="159"/>
      <c r="Q79" s="165"/>
      <c r="R79" s="166"/>
      <c r="S79" s="156"/>
      <c r="T79" s="160"/>
      <c r="U79" s="157"/>
      <c r="V79" s="161">
        <v>8000000</v>
      </c>
      <c r="W79" s="158">
        <v>0</v>
      </c>
      <c r="X79" s="160"/>
      <c r="Y79" s="160">
        <f>W79/2</f>
        <v>0</v>
      </c>
      <c r="Z79" s="160">
        <f>W79/2</f>
        <v>0</v>
      </c>
      <c r="AA79" s="160"/>
      <c r="AB79" s="159"/>
      <c r="AC79" s="158">
        <f t="shared" si="41"/>
        <v>8000000</v>
      </c>
      <c r="AD79" s="160"/>
      <c r="AE79" s="160">
        <f>AC79/2</f>
        <v>4000000</v>
      </c>
      <c r="AF79" s="157">
        <f>AC79-AE79</f>
        <v>4000000</v>
      </c>
      <c r="AG79" s="157"/>
      <c r="AH79" s="159"/>
      <c r="AI79" s="35">
        <f t="shared" si="42"/>
        <v>0</v>
      </c>
      <c r="AJ79" s="11">
        <f t="shared" si="43"/>
        <v>4000000</v>
      </c>
      <c r="AK79" s="11">
        <f t="shared" si="44"/>
        <v>4000000</v>
      </c>
      <c r="AL79" s="11">
        <f t="shared" si="45"/>
        <v>0</v>
      </c>
      <c r="AM79" s="76">
        <f t="shared" si="46"/>
        <v>0</v>
      </c>
      <c r="AN79" s="51">
        <f t="shared" si="38"/>
        <v>8000000</v>
      </c>
      <c r="AO79" s="36"/>
      <c r="AP79" s="9"/>
      <c r="AQ79" s="9"/>
      <c r="AR79" s="9"/>
      <c r="AS79" s="9"/>
      <c r="AT79" s="9"/>
      <c r="AU79" s="9"/>
      <c r="AV79" s="9"/>
      <c r="AW79" s="10"/>
      <c r="AY79" s="11"/>
    </row>
    <row r="80" spans="5:51" s="27" customFormat="1" ht="60" customHeight="1" x14ac:dyDescent="0.2">
      <c r="E80" s="151">
        <f t="shared" si="47"/>
        <v>20508</v>
      </c>
      <c r="F80" s="162" t="s">
        <v>521</v>
      </c>
      <c r="G80" s="156"/>
      <c r="H80" s="157"/>
      <c r="I80" s="158"/>
      <c r="J80" s="159"/>
      <c r="K80" s="158"/>
      <c r="L80" s="159"/>
      <c r="M80" s="158"/>
      <c r="N80" s="159"/>
      <c r="O80" s="158"/>
      <c r="P80" s="159"/>
      <c r="Q80" s="165"/>
      <c r="R80" s="166"/>
      <c r="S80" s="156"/>
      <c r="T80" s="160"/>
      <c r="U80" s="157"/>
      <c r="V80" s="161">
        <v>390000</v>
      </c>
      <c r="W80" s="158"/>
      <c r="X80" s="160"/>
      <c r="Y80" s="160"/>
      <c r="Z80" s="160"/>
      <c r="AA80" s="160"/>
      <c r="AB80" s="159"/>
      <c r="AC80" s="158">
        <f t="shared" si="41"/>
        <v>390000</v>
      </c>
      <c r="AD80" s="160"/>
      <c r="AE80" s="160"/>
      <c r="AF80" s="157">
        <f>AC80</f>
        <v>390000</v>
      </c>
      <c r="AG80" s="157"/>
      <c r="AH80" s="159"/>
      <c r="AI80" s="35">
        <f t="shared" si="42"/>
        <v>0</v>
      </c>
      <c r="AJ80" s="11">
        <f t="shared" si="43"/>
        <v>0</v>
      </c>
      <c r="AK80" s="11">
        <f t="shared" si="44"/>
        <v>390000</v>
      </c>
      <c r="AL80" s="11">
        <f t="shared" si="45"/>
        <v>0</v>
      </c>
      <c r="AM80" s="76">
        <f t="shared" si="46"/>
        <v>0</v>
      </c>
      <c r="AN80" s="51">
        <f t="shared" si="38"/>
        <v>390000</v>
      </c>
      <c r="AO80" s="36"/>
      <c r="AP80" s="9"/>
      <c r="AQ80" s="9"/>
      <c r="AR80" s="9"/>
      <c r="AS80" s="9"/>
      <c r="AT80" s="9"/>
      <c r="AU80" s="9"/>
      <c r="AV80" s="9"/>
      <c r="AW80" s="10"/>
      <c r="AY80" s="11"/>
    </row>
    <row r="81" spans="5:51" s="27" customFormat="1" ht="60" customHeight="1" x14ac:dyDescent="0.2">
      <c r="E81" s="151">
        <f t="shared" si="47"/>
        <v>20509</v>
      </c>
      <c r="F81" s="170" t="s">
        <v>444</v>
      </c>
      <c r="G81" s="156"/>
      <c r="H81" s="157"/>
      <c r="I81" s="158"/>
      <c r="J81" s="159"/>
      <c r="K81" s="158"/>
      <c r="L81" s="159"/>
      <c r="M81" s="158"/>
      <c r="N81" s="159"/>
      <c r="O81" s="158"/>
      <c r="P81" s="159"/>
      <c r="Q81" s="165"/>
      <c r="R81" s="166"/>
      <c r="S81" s="156"/>
      <c r="T81" s="160"/>
      <c r="U81" s="157"/>
      <c r="V81" s="161">
        <v>500000</v>
      </c>
      <c r="W81" s="158">
        <f>V81</f>
        <v>500000</v>
      </c>
      <c r="X81" s="160"/>
      <c r="Y81" s="160"/>
      <c r="Z81" s="160"/>
      <c r="AA81" s="160">
        <f>W81</f>
        <v>500000</v>
      </c>
      <c r="AB81" s="159"/>
      <c r="AC81" s="158">
        <f t="shared" si="41"/>
        <v>0</v>
      </c>
      <c r="AD81" s="160"/>
      <c r="AE81" s="160"/>
      <c r="AF81" s="157"/>
      <c r="AG81" s="157"/>
      <c r="AH81" s="159"/>
      <c r="AI81" s="35">
        <f t="shared" si="42"/>
        <v>0</v>
      </c>
      <c r="AJ81" s="11">
        <f t="shared" si="43"/>
        <v>0</v>
      </c>
      <c r="AK81" s="11">
        <f t="shared" si="44"/>
        <v>0</v>
      </c>
      <c r="AL81" s="11">
        <f t="shared" si="45"/>
        <v>500000</v>
      </c>
      <c r="AM81" s="76">
        <f t="shared" si="46"/>
        <v>0</v>
      </c>
      <c r="AN81" s="51">
        <f t="shared" si="38"/>
        <v>500000</v>
      </c>
      <c r="AO81" s="36"/>
      <c r="AP81" s="9"/>
      <c r="AQ81" s="9"/>
      <c r="AR81" s="9"/>
      <c r="AS81" s="9"/>
      <c r="AT81" s="9"/>
      <c r="AU81" s="9"/>
      <c r="AV81" s="9"/>
      <c r="AW81" s="10"/>
      <c r="AY81" s="11"/>
    </row>
    <row r="82" spans="5:51" s="27" customFormat="1" ht="60" customHeight="1" x14ac:dyDescent="0.2">
      <c r="E82" s="151">
        <f t="shared" si="47"/>
        <v>20510</v>
      </c>
      <c r="F82" s="170" t="s">
        <v>445</v>
      </c>
      <c r="G82" s="156"/>
      <c r="H82" s="157"/>
      <c r="I82" s="158"/>
      <c r="J82" s="159"/>
      <c r="K82" s="158"/>
      <c r="L82" s="159"/>
      <c r="M82" s="158"/>
      <c r="N82" s="159"/>
      <c r="O82" s="158"/>
      <c r="P82" s="159"/>
      <c r="Q82" s="165"/>
      <c r="R82" s="166"/>
      <c r="S82" s="156"/>
      <c r="T82" s="160"/>
      <c r="U82" s="157"/>
      <c r="V82" s="161">
        <v>3000000</v>
      </c>
      <c r="W82" s="158">
        <v>0</v>
      </c>
      <c r="X82" s="160"/>
      <c r="Y82" s="160"/>
      <c r="Z82" s="160">
        <f>W82</f>
        <v>0</v>
      </c>
      <c r="AA82" s="160"/>
      <c r="AB82" s="159"/>
      <c r="AC82" s="158">
        <f t="shared" si="41"/>
        <v>3000000</v>
      </c>
      <c r="AD82" s="160"/>
      <c r="AE82" s="160">
        <f>AC82</f>
        <v>3000000</v>
      </c>
      <c r="AF82" s="157"/>
      <c r="AG82" s="157"/>
      <c r="AH82" s="159"/>
      <c r="AI82" s="35">
        <f t="shared" si="42"/>
        <v>0</v>
      </c>
      <c r="AJ82" s="11">
        <f t="shared" si="43"/>
        <v>3000000</v>
      </c>
      <c r="AK82" s="11">
        <f t="shared" si="44"/>
        <v>0</v>
      </c>
      <c r="AL82" s="11">
        <f t="shared" si="45"/>
        <v>0</v>
      </c>
      <c r="AM82" s="76">
        <f t="shared" si="46"/>
        <v>0</v>
      </c>
      <c r="AN82" s="51">
        <f t="shared" si="38"/>
        <v>3000000</v>
      </c>
      <c r="AO82" s="36"/>
      <c r="AP82" s="9"/>
      <c r="AQ82" s="9"/>
      <c r="AR82" s="9"/>
      <c r="AS82" s="9"/>
      <c r="AT82" s="9"/>
      <c r="AU82" s="9"/>
      <c r="AV82" s="9"/>
      <c r="AW82" s="10"/>
      <c r="AY82" s="11"/>
    </row>
    <row r="83" spans="5:51" s="27" customFormat="1" ht="60" customHeight="1" x14ac:dyDescent="0.2">
      <c r="E83" s="151">
        <f t="shared" si="47"/>
        <v>20511</v>
      </c>
      <c r="F83" s="170" t="s">
        <v>446</v>
      </c>
      <c r="G83" s="156"/>
      <c r="H83" s="157"/>
      <c r="I83" s="158"/>
      <c r="J83" s="159"/>
      <c r="K83" s="158"/>
      <c r="L83" s="159"/>
      <c r="M83" s="158"/>
      <c r="N83" s="159"/>
      <c r="O83" s="158"/>
      <c r="P83" s="159"/>
      <c r="Q83" s="165"/>
      <c r="R83" s="166"/>
      <c r="S83" s="156"/>
      <c r="T83" s="160"/>
      <c r="U83" s="157"/>
      <c r="V83" s="161">
        <v>10000000</v>
      </c>
      <c r="W83" s="158">
        <v>0</v>
      </c>
      <c r="X83" s="160"/>
      <c r="Y83" s="160"/>
      <c r="Z83" s="160">
        <f>W83</f>
        <v>0</v>
      </c>
      <c r="AA83" s="160"/>
      <c r="AB83" s="159"/>
      <c r="AC83" s="158">
        <f t="shared" si="41"/>
        <v>10000000</v>
      </c>
      <c r="AD83" s="160"/>
      <c r="AE83" s="160"/>
      <c r="AF83" s="157">
        <f>AC83</f>
        <v>10000000</v>
      </c>
      <c r="AG83" s="157"/>
      <c r="AH83" s="159"/>
      <c r="AI83" s="35">
        <f t="shared" si="42"/>
        <v>0</v>
      </c>
      <c r="AJ83" s="11">
        <f t="shared" si="43"/>
        <v>0</v>
      </c>
      <c r="AK83" s="11">
        <f t="shared" si="44"/>
        <v>10000000</v>
      </c>
      <c r="AL83" s="11">
        <f t="shared" si="45"/>
        <v>0</v>
      </c>
      <c r="AM83" s="76">
        <f t="shared" si="46"/>
        <v>0</v>
      </c>
      <c r="AN83" s="51">
        <f t="shared" si="38"/>
        <v>10000000</v>
      </c>
      <c r="AO83" s="36"/>
      <c r="AP83" s="9"/>
      <c r="AQ83" s="9"/>
      <c r="AR83" s="9"/>
      <c r="AS83" s="9"/>
      <c r="AT83" s="9"/>
      <c r="AU83" s="9"/>
      <c r="AV83" s="9"/>
      <c r="AW83" s="10"/>
      <c r="AY83" s="11"/>
    </row>
    <row r="84" spans="5:51" s="27" customFormat="1" ht="60" customHeight="1" x14ac:dyDescent="0.2">
      <c r="E84" s="151">
        <f t="shared" si="47"/>
        <v>20512</v>
      </c>
      <c r="F84" s="170" t="s">
        <v>447</v>
      </c>
      <c r="G84" s="156"/>
      <c r="H84" s="157"/>
      <c r="I84" s="158"/>
      <c r="J84" s="159"/>
      <c r="K84" s="158"/>
      <c r="L84" s="159"/>
      <c r="M84" s="158"/>
      <c r="N84" s="159"/>
      <c r="O84" s="158"/>
      <c r="P84" s="159"/>
      <c r="Q84" s="165"/>
      <c r="R84" s="166"/>
      <c r="S84" s="156"/>
      <c r="T84" s="160"/>
      <c r="U84" s="157"/>
      <c r="V84" s="161">
        <v>2000000</v>
      </c>
      <c r="W84" s="158">
        <v>0</v>
      </c>
      <c r="X84" s="160"/>
      <c r="Y84" s="160"/>
      <c r="Z84" s="160">
        <f>W84</f>
        <v>0</v>
      </c>
      <c r="AA84" s="160"/>
      <c r="AB84" s="159"/>
      <c r="AC84" s="158">
        <f t="shared" si="41"/>
        <v>2000000</v>
      </c>
      <c r="AD84" s="160"/>
      <c r="AE84" s="160">
        <f>AC84</f>
        <v>2000000</v>
      </c>
      <c r="AF84" s="157"/>
      <c r="AG84" s="157"/>
      <c r="AH84" s="159"/>
      <c r="AI84" s="35">
        <f t="shared" si="42"/>
        <v>0</v>
      </c>
      <c r="AJ84" s="11">
        <f t="shared" si="43"/>
        <v>2000000</v>
      </c>
      <c r="AK84" s="11">
        <f t="shared" si="44"/>
        <v>0</v>
      </c>
      <c r="AL84" s="11">
        <f t="shared" si="45"/>
        <v>0</v>
      </c>
      <c r="AM84" s="76">
        <f t="shared" si="46"/>
        <v>0</v>
      </c>
      <c r="AN84" s="51">
        <f t="shared" si="38"/>
        <v>2000000</v>
      </c>
      <c r="AO84" s="36"/>
      <c r="AP84" s="9"/>
      <c r="AQ84" s="9"/>
      <c r="AR84" s="9"/>
      <c r="AS84" s="9"/>
      <c r="AT84" s="9"/>
      <c r="AU84" s="9"/>
      <c r="AV84" s="9"/>
      <c r="AW84" s="10"/>
      <c r="AY84" s="11"/>
    </row>
    <row r="85" spans="5:51" s="27" customFormat="1" ht="60" customHeight="1" x14ac:dyDescent="0.2">
      <c r="E85" s="149"/>
      <c r="F85" s="127" t="s">
        <v>37</v>
      </c>
      <c r="G85" s="118">
        <f t="shared" ref="G85:AW85" si="49">SUM(G73:G84)</f>
        <v>0</v>
      </c>
      <c r="H85" s="116">
        <f t="shared" si="49"/>
        <v>0</v>
      </c>
      <c r="I85" s="115">
        <f t="shared" si="49"/>
        <v>400000</v>
      </c>
      <c r="J85" s="117">
        <f t="shared" si="49"/>
        <v>200000</v>
      </c>
      <c r="K85" s="115">
        <f t="shared" si="49"/>
        <v>200000</v>
      </c>
      <c r="L85" s="117">
        <f t="shared" si="49"/>
        <v>200000</v>
      </c>
      <c r="M85" s="115">
        <f t="shared" si="49"/>
        <v>400000</v>
      </c>
      <c r="N85" s="117">
        <f t="shared" si="49"/>
        <v>400000</v>
      </c>
      <c r="O85" s="115">
        <f t="shared" si="49"/>
        <v>2300000</v>
      </c>
      <c r="P85" s="117">
        <f t="shared" si="49"/>
        <v>600000</v>
      </c>
      <c r="Q85" s="115">
        <f t="shared" si="49"/>
        <v>1900000</v>
      </c>
      <c r="R85" s="117">
        <f t="shared" si="49"/>
        <v>200000</v>
      </c>
      <c r="S85" s="118">
        <f t="shared" si="49"/>
        <v>897492</v>
      </c>
      <c r="T85" s="118">
        <f t="shared" si="49"/>
        <v>0</v>
      </c>
      <c r="U85" s="118">
        <f t="shared" si="49"/>
        <v>897492</v>
      </c>
      <c r="V85" s="119">
        <f t="shared" si="49"/>
        <v>38590000</v>
      </c>
      <c r="W85" s="115">
        <f t="shared" si="49"/>
        <v>800000</v>
      </c>
      <c r="X85" s="120">
        <f t="shared" si="49"/>
        <v>0</v>
      </c>
      <c r="Y85" s="120">
        <f t="shared" si="49"/>
        <v>0</v>
      </c>
      <c r="Z85" s="120">
        <f t="shared" si="49"/>
        <v>300000</v>
      </c>
      <c r="AA85" s="120">
        <f t="shared" si="49"/>
        <v>500000</v>
      </c>
      <c r="AB85" s="117">
        <f t="shared" si="49"/>
        <v>0</v>
      </c>
      <c r="AC85" s="115">
        <f t="shared" si="49"/>
        <v>37790000</v>
      </c>
      <c r="AD85" s="120">
        <f t="shared" si="49"/>
        <v>0</v>
      </c>
      <c r="AE85" s="120">
        <f t="shared" si="49"/>
        <v>13500000</v>
      </c>
      <c r="AF85" s="116">
        <f t="shared" si="49"/>
        <v>24290000</v>
      </c>
      <c r="AG85" s="116">
        <f t="shared" si="49"/>
        <v>0</v>
      </c>
      <c r="AH85" s="117">
        <f t="shared" si="49"/>
        <v>0</v>
      </c>
      <c r="AI85" s="47">
        <f t="shared" si="49"/>
        <v>0</v>
      </c>
      <c r="AJ85" s="10">
        <f t="shared" si="49"/>
        <v>13500000</v>
      </c>
      <c r="AK85" s="10">
        <f t="shared" si="49"/>
        <v>24590000</v>
      </c>
      <c r="AL85" s="10">
        <f t="shared" si="49"/>
        <v>500000</v>
      </c>
      <c r="AM85" s="48">
        <f t="shared" si="49"/>
        <v>0</v>
      </c>
      <c r="AN85" s="52">
        <f t="shared" si="49"/>
        <v>34590000</v>
      </c>
      <c r="AO85" s="47">
        <f t="shared" si="49"/>
        <v>0</v>
      </c>
      <c r="AP85" s="47">
        <f t="shared" si="49"/>
        <v>0</v>
      </c>
      <c r="AQ85" s="47">
        <f t="shared" si="49"/>
        <v>0</v>
      </c>
      <c r="AR85" s="47">
        <f t="shared" si="49"/>
        <v>0</v>
      </c>
      <c r="AS85" s="47">
        <f t="shared" si="49"/>
        <v>0</v>
      </c>
      <c r="AT85" s="47">
        <f t="shared" si="49"/>
        <v>0</v>
      </c>
      <c r="AU85" s="47">
        <f t="shared" si="49"/>
        <v>0</v>
      </c>
      <c r="AV85" s="47">
        <f t="shared" si="49"/>
        <v>0</v>
      </c>
      <c r="AW85" s="47">
        <f t="shared" si="49"/>
        <v>0</v>
      </c>
      <c r="AY85" s="11">
        <f t="shared" ref="AY85:AY115" si="50">V85-W85-AC85</f>
        <v>0</v>
      </c>
    </row>
    <row r="86" spans="5:51" s="27" customFormat="1" ht="60" customHeight="1" x14ac:dyDescent="0.2">
      <c r="E86" s="151">
        <v>20600</v>
      </c>
      <c r="F86" s="155" t="s">
        <v>38</v>
      </c>
      <c r="G86" s="156"/>
      <c r="H86" s="157"/>
      <c r="I86" s="158"/>
      <c r="J86" s="159"/>
      <c r="K86" s="158"/>
      <c r="L86" s="159"/>
      <c r="M86" s="158"/>
      <c r="N86" s="159"/>
      <c r="O86" s="158"/>
      <c r="P86" s="159"/>
      <c r="Q86" s="158"/>
      <c r="R86" s="159"/>
      <c r="S86" s="156"/>
      <c r="T86" s="160"/>
      <c r="U86" s="157"/>
      <c r="V86" s="161"/>
      <c r="W86" s="158"/>
      <c r="X86" s="160"/>
      <c r="Y86" s="160"/>
      <c r="Z86" s="160"/>
      <c r="AA86" s="160"/>
      <c r="AB86" s="159"/>
      <c r="AC86" s="158"/>
      <c r="AD86" s="160"/>
      <c r="AE86" s="160"/>
      <c r="AF86" s="157"/>
      <c r="AG86" s="157"/>
      <c r="AH86" s="159"/>
      <c r="AI86" s="45"/>
      <c r="AJ86" s="9"/>
      <c r="AK86" s="9"/>
      <c r="AL86" s="9"/>
      <c r="AM86" s="46"/>
      <c r="AN86" s="50"/>
      <c r="AO86" s="36"/>
      <c r="AP86" s="9"/>
      <c r="AQ86" s="9"/>
      <c r="AR86" s="9"/>
      <c r="AS86" s="9"/>
      <c r="AT86" s="9"/>
      <c r="AU86" s="9"/>
      <c r="AV86" s="9"/>
      <c r="AW86" s="10">
        <f t="shared" ref="AW86:AW149" si="51">AP86-AQ86-AV86</f>
        <v>0</v>
      </c>
      <c r="AY86" s="11">
        <f t="shared" si="50"/>
        <v>0</v>
      </c>
    </row>
    <row r="87" spans="5:51" s="27" customFormat="1" ht="60" customHeight="1" x14ac:dyDescent="0.2">
      <c r="E87" s="151">
        <f>E86+1</f>
        <v>20601</v>
      </c>
      <c r="F87" s="170" t="s">
        <v>39</v>
      </c>
      <c r="G87" s="156">
        <v>100000</v>
      </c>
      <c r="H87" s="157">
        <v>70000</v>
      </c>
      <c r="I87" s="158">
        <v>100000</v>
      </c>
      <c r="J87" s="159">
        <v>0</v>
      </c>
      <c r="K87" s="158">
        <v>400000</v>
      </c>
      <c r="L87" s="159">
        <v>400000</v>
      </c>
      <c r="M87" s="158">
        <v>1650000</v>
      </c>
      <c r="N87" s="159">
        <f>1250000+390000</f>
        <v>1640000</v>
      </c>
      <c r="O87" s="158">
        <v>5000000</v>
      </c>
      <c r="P87" s="159">
        <v>460000</v>
      </c>
      <c r="Q87" s="165">
        <f>O87-M87</f>
        <v>3350000</v>
      </c>
      <c r="R87" s="166">
        <f>P87-N87</f>
        <v>-1180000</v>
      </c>
      <c r="S87" s="156">
        <v>116203</v>
      </c>
      <c r="T87" s="160"/>
      <c r="U87" s="157">
        <f>S87</f>
        <v>116203</v>
      </c>
      <c r="V87" s="161">
        <v>10000000</v>
      </c>
      <c r="W87" s="158">
        <v>3000000</v>
      </c>
      <c r="X87" s="160"/>
      <c r="Y87" s="160"/>
      <c r="Z87" s="160"/>
      <c r="AA87" s="160"/>
      <c r="AB87" s="159">
        <f>W87</f>
        <v>3000000</v>
      </c>
      <c r="AC87" s="158">
        <f t="shared" ref="AC87:AC101" si="52">V87-W87</f>
        <v>7000000</v>
      </c>
      <c r="AD87" s="160"/>
      <c r="AE87" s="160"/>
      <c r="AF87" s="157"/>
      <c r="AG87" s="157"/>
      <c r="AH87" s="159">
        <f>AC87</f>
        <v>7000000</v>
      </c>
      <c r="AI87" s="35">
        <f t="shared" ref="AI87:AI101" si="53">AD87+X87</f>
        <v>0</v>
      </c>
      <c r="AJ87" s="11">
        <f t="shared" ref="AJ87:AJ101" si="54">AE87+Y87</f>
        <v>0</v>
      </c>
      <c r="AK87" s="11">
        <f t="shared" ref="AK87:AK101" si="55">AF87+Z87</f>
        <v>0</v>
      </c>
      <c r="AL87" s="11">
        <f t="shared" ref="AL87:AL101" si="56">AG87+AA87</f>
        <v>0</v>
      </c>
      <c r="AM87" s="76">
        <f t="shared" ref="AM87:AM101" si="57">AH87+AB87</f>
        <v>10000000</v>
      </c>
      <c r="AN87" s="51">
        <f t="shared" ref="AN87:AN101" si="58">SUM(AJ87:AM87)</f>
        <v>10000000</v>
      </c>
      <c r="AO87" s="36"/>
      <c r="AP87" s="9"/>
      <c r="AQ87" s="9"/>
      <c r="AR87" s="9"/>
      <c r="AS87" s="9"/>
      <c r="AT87" s="9"/>
      <c r="AU87" s="9"/>
      <c r="AV87" s="9">
        <f t="shared" ref="AV87:AV100" si="59">AU87+AT87+AS87+AR87</f>
        <v>0</v>
      </c>
      <c r="AW87" s="10">
        <f t="shared" si="51"/>
        <v>0</v>
      </c>
      <c r="AY87" s="11">
        <f t="shared" si="50"/>
        <v>0</v>
      </c>
    </row>
    <row r="88" spans="5:51" s="27" customFormat="1" ht="60" customHeight="1" x14ac:dyDescent="0.2">
      <c r="E88" s="151">
        <f t="shared" ref="E88:E101" si="60">E87+1</f>
        <v>20602</v>
      </c>
      <c r="F88" s="170" t="s">
        <v>40</v>
      </c>
      <c r="G88" s="156">
        <v>100000</v>
      </c>
      <c r="H88" s="157">
        <v>0</v>
      </c>
      <c r="I88" s="158">
        <v>100000</v>
      </c>
      <c r="J88" s="159">
        <f>I88</f>
        <v>100000</v>
      </c>
      <c r="K88" s="158">
        <v>100000</v>
      </c>
      <c r="L88" s="159">
        <v>-31109</v>
      </c>
      <c r="M88" s="158">
        <v>100000</v>
      </c>
      <c r="N88" s="159"/>
      <c r="O88" s="158">
        <v>200000</v>
      </c>
      <c r="P88" s="159">
        <v>100000</v>
      </c>
      <c r="Q88" s="165">
        <f t="shared" ref="Q88:R100" si="61">O88-M88</f>
        <v>100000</v>
      </c>
      <c r="R88" s="166">
        <f t="shared" si="61"/>
        <v>100000</v>
      </c>
      <c r="S88" s="156">
        <v>209918</v>
      </c>
      <c r="T88" s="160"/>
      <c r="U88" s="164">
        <f>S88</f>
        <v>209918</v>
      </c>
      <c r="V88" s="161">
        <v>400000</v>
      </c>
      <c r="W88" s="158">
        <v>200000</v>
      </c>
      <c r="X88" s="160"/>
      <c r="Y88" s="160">
        <f>W88</f>
        <v>200000</v>
      </c>
      <c r="Z88" s="160"/>
      <c r="AA88" s="160"/>
      <c r="AB88" s="159"/>
      <c r="AC88" s="158">
        <f t="shared" si="52"/>
        <v>200000</v>
      </c>
      <c r="AD88" s="160"/>
      <c r="AE88" s="160">
        <f>AC88</f>
        <v>200000</v>
      </c>
      <c r="AF88" s="157"/>
      <c r="AG88" s="157"/>
      <c r="AH88" s="159"/>
      <c r="AI88" s="35">
        <f t="shared" si="53"/>
        <v>0</v>
      </c>
      <c r="AJ88" s="11">
        <f t="shared" si="54"/>
        <v>400000</v>
      </c>
      <c r="AK88" s="11">
        <f t="shared" si="55"/>
        <v>0</v>
      </c>
      <c r="AL88" s="11">
        <f t="shared" si="56"/>
        <v>0</v>
      </c>
      <c r="AM88" s="76">
        <f t="shared" si="57"/>
        <v>0</v>
      </c>
      <c r="AN88" s="51">
        <f t="shared" si="58"/>
        <v>400000</v>
      </c>
      <c r="AO88" s="36"/>
      <c r="AP88" s="9"/>
      <c r="AQ88" s="9"/>
      <c r="AR88" s="9"/>
      <c r="AS88" s="9"/>
      <c r="AT88" s="9"/>
      <c r="AU88" s="9"/>
      <c r="AV88" s="9">
        <f t="shared" si="59"/>
        <v>0</v>
      </c>
      <c r="AW88" s="10">
        <f t="shared" si="51"/>
        <v>0</v>
      </c>
      <c r="AY88" s="11">
        <f t="shared" si="50"/>
        <v>0</v>
      </c>
    </row>
    <row r="89" spans="5:51" s="27" customFormat="1" ht="60" customHeight="1" x14ac:dyDescent="0.2">
      <c r="E89" s="151">
        <f t="shared" si="60"/>
        <v>20603</v>
      </c>
      <c r="F89" s="170" t="s">
        <v>41</v>
      </c>
      <c r="G89" s="156">
        <v>122000</v>
      </c>
      <c r="H89" s="157">
        <v>122000</v>
      </c>
      <c r="I89" s="158">
        <v>150000</v>
      </c>
      <c r="J89" s="159">
        <v>75000</v>
      </c>
      <c r="K89" s="158">
        <v>150000</v>
      </c>
      <c r="L89" s="159">
        <v>0</v>
      </c>
      <c r="M89" s="158">
        <v>100000</v>
      </c>
      <c r="N89" s="159">
        <v>100000</v>
      </c>
      <c r="O89" s="158">
        <v>1000000</v>
      </c>
      <c r="P89" s="159">
        <v>180000</v>
      </c>
      <c r="Q89" s="165">
        <f t="shared" si="61"/>
        <v>900000</v>
      </c>
      <c r="R89" s="166">
        <f t="shared" si="61"/>
        <v>80000</v>
      </c>
      <c r="S89" s="156">
        <v>1219245</v>
      </c>
      <c r="T89" s="160"/>
      <c r="U89" s="164">
        <f>S89</f>
        <v>1219245</v>
      </c>
      <c r="V89" s="161">
        <v>3000000</v>
      </c>
      <c r="W89" s="158">
        <v>1000000</v>
      </c>
      <c r="X89" s="160"/>
      <c r="Y89" s="160"/>
      <c r="Z89" s="160"/>
      <c r="AA89" s="160">
        <f>W89</f>
        <v>1000000</v>
      </c>
      <c r="AB89" s="159"/>
      <c r="AC89" s="158">
        <f t="shared" si="52"/>
        <v>2000000</v>
      </c>
      <c r="AD89" s="160"/>
      <c r="AE89" s="160"/>
      <c r="AF89" s="157"/>
      <c r="AG89" s="157">
        <f>AC89</f>
        <v>2000000</v>
      </c>
      <c r="AH89" s="159"/>
      <c r="AI89" s="35">
        <f t="shared" si="53"/>
        <v>0</v>
      </c>
      <c r="AJ89" s="11">
        <f t="shared" si="54"/>
        <v>0</v>
      </c>
      <c r="AK89" s="11">
        <f t="shared" si="55"/>
        <v>0</v>
      </c>
      <c r="AL89" s="11">
        <f t="shared" si="56"/>
        <v>3000000</v>
      </c>
      <c r="AM89" s="76">
        <f t="shared" si="57"/>
        <v>0</v>
      </c>
      <c r="AN89" s="51">
        <f t="shared" si="58"/>
        <v>3000000</v>
      </c>
      <c r="AO89" s="36"/>
      <c r="AP89" s="9"/>
      <c r="AQ89" s="9"/>
      <c r="AR89" s="9"/>
      <c r="AS89" s="9"/>
      <c r="AT89" s="9"/>
      <c r="AU89" s="9"/>
      <c r="AV89" s="9">
        <f t="shared" si="59"/>
        <v>0</v>
      </c>
      <c r="AW89" s="10">
        <f t="shared" si="51"/>
        <v>0</v>
      </c>
      <c r="AY89" s="11">
        <f t="shared" si="50"/>
        <v>0</v>
      </c>
    </row>
    <row r="90" spans="5:51" s="27" customFormat="1" ht="60" customHeight="1" x14ac:dyDescent="0.2">
      <c r="E90" s="151">
        <f t="shared" si="60"/>
        <v>20604</v>
      </c>
      <c r="F90" s="170" t="s">
        <v>42</v>
      </c>
      <c r="G90" s="156">
        <v>2250000</v>
      </c>
      <c r="H90" s="157">
        <v>1530000</v>
      </c>
      <c r="I90" s="158">
        <v>2100000</v>
      </c>
      <c r="J90" s="159">
        <v>2000000</v>
      </c>
      <c r="K90" s="158">
        <v>2000000</v>
      </c>
      <c r="L90" s="159">
        <f>220000+1154000+500000+15000</f>
        <v>1889000</v>
      </c>
      <c r="M90" s="158">
        <v>650000</v>
      </c>
      <c r="N90" s="159">
        <v>620000</v>
      </c>
      <c r="O90" s="158">
        <v>200000</v>
      </c>
      <c r="P90" s="159"/>
      <c r="Q90" s="165">
        <f t="shared" si="61"/>
        <v>-450000</v>
      </c>
      <c r="R90" s="166">
        <f t="shared" si="61"/>
        <v>-620000</v>
      </c>
      <c r="S90" s="156"/>
      <c r="T90" s="160"/>
      <c r="U90" s="164"/>
      <c r="V90" s="161">
        <v>200000</v>
      </c>
      <c r="W90" s="158">
        <v>100000</v>
      </c>
      <c r="X90" s="160"/>
      <c r="Y90" s="160"/>
      <c r="Z90" s="160"/>
      <c r="AA90" s="160"/>
      <c r="AB90" s="159">
        <f>W90</f>
        <v>100000</v>
      </c>
      <c r="AC90" s="158">
        <f t="shared" si="52"/>
        <v>100000</v>
      </c>
      <c r="AD90" s="160"/>
      <c r="AE90" s="160"/>
      <c r="AF90" s="157"/>
      <c r="AG90" s="157"/>
      <c r="AH90" s="159">
        <f>AC90</f>
        <v>100000</v>
      </c>
      <c r="AI90" s="35">
        <f t="shared" si="53"/>
        <v>0</v>
      </c>
      <c r="AJ90" s="11">
        <f t="shared" si="54"/>
        <v>0</v>
      </c>
      <c r="AK90" s="11">
        <f t="shared" si="55"/>
        <v>0</v>
      </c>
      <c r="AL90" s="11">
        <f t="shared" si="56"/>
        <v>0</v>
      </c>
      <c r="AM90" s="76">
        <f t="shared" si="57"/>
        <v>200000</v>
      </c>
      <c r="AN90" s="51">
        <f t="shared" si="58"/>
        <v>200000</v>
      </c>
      <c r="AO90" s="36"/>
      <c r="AP90" s="9"/>
      <c r="AQ90" s="9"/>
      <c r="AR90" s="9"/>
      <c r="AS90" s="9"/>
      <c r="AT90" s="9"/>
      <c r="AU90" s="9"/>
      <c r="AV90" s="9">
        <f t="shared" si="59"/>
        <v>0</v>
      </c>
      <c r="AW90" s="10">
        <f t="shared" si="51"/>
        <v>0</v>
      </c>
      <c r="AY90" s="11">
        <f t="shared" si="50"/>
        <v>0</v>
      </c>
    </row>
    <row r="91" spans="5:51" s="27" customFormat="1" ht="60" customHeight="1" x14ac:dyDescent="0.2">
      <c r="E91" s="151">
        <f t="shared" si="60"/>
        <v>20605</v>
      </c>
      <c r="F91" s="170" t="s">
        <v>43</v>
      </c>
      <c r="G91" s="156">
        <v>200000</v>
      </c>
      <c r="H91" s="157">
        <v>200000</v>
      </c>
      <c r="I91" s="158">
        <v>200000</v>
      </c>
      <c r="J91" s="159">
        <v>200000</v>
      </c>
      <c r="K91" s="158">
        <v>300000</v>
      </c>
      <c r="L91" s="159">
        <v>0</v>
      </c>
      <c r="M91" s="158">
        <v>100000</v>
      </c>
      <c r="N91" s="159">
        <v>100000</v>
      </c>
      <c r="O91" s="158">
        <v>100000</v>
      </c>
      <c r="P91" s="159"/>
      <c r="Q91" s="165">
        <f t="shared" si="61"/>
        <v>0</v>
      </c>
      <c r="R91" s="166">
        <f t="shared" si="61"/>
        <v>-100000</v>
      </c>
      <c r="S91" s="156">
        <v>11521</v>
      </c>
      <c r="T91" s="160"/>
      <c r="U91" s="164">
        <f>S91</f>
        <v>11521</v>
      </c>
      <c r="V91" s="161">
        <v>100000</v>
      </c>
      <c r="W91" s="158">
        <v>100000</v>
      </c>
      <c r="X91" s="160"/>
      <c r="Y91" s="160"/>
      <c r="Z91" s="160"/>
      <c r="AA91" s="160"/>
      <c r="AB91" s="159">
        <f>W91</f>
        <v>100000</v>
      </c>
      <c r="AC91" s="158">
        <f t="shared" si="52"/>
        <v>0</v>
      </c>
      <c r="AD91" s="160"/>
      <c r="AE91" s="160"/>
      <c r="AF91" s="157"/>
      <c r="AG91" s="157"/>
      <c r="AH91" s="159"/>
      <c r="AI91" s="35">
        <f t="shared" si="53"/>
        <v>0</v>
      </c>
      <c r="AJ91" s="11">
        <f t="shared" si="54"/>
        <v>0</v>
      </c>
      <c r="AK91" s="11">
        <f t="shared" si="55"/>
        <v>0</v>
      </c>
      <c r="AL91" s="11">
        <f t="shared" si="56"/>
        <v>0</v>
      </c>
      <c r="AM91" s="76">
        <f t="shared" si="57"/>
        <v>100000</v>
      </c>
      <c r="AN91" s="51">
        <f t="shared" si="58"/>
        <v>100000</v>
      </c>
      <c r="AO91" s="36"/>
      <c r="AP91" s="9"/>
      <c r="AQ91" s="9"/>
      <c r="AR91" s="9"/>
      <c r="AS91" s="9"/>
      <c r="AT91" s="9"/>
      <c r="AU91" s="9"/>
      <c r="AV91" s="9">
        <f t="shared" si="59"/>
        <v>0</v>
      </c>
      <c r="AW91" s="10">
        <f t="shared" si="51"/>
        <v>0</v>
      </c>
      <c r="AY91" s="11">
        <f t="shared" si="50"/>
        <v>0</v>
      </c>
    </row>
    <row r="92" spans="5:51" s="27" customFormat="1" ht="60" customHeight="1" x14ac:dyDescent="0.2">
      <c r="E92" s="151">
        <f t="shared" si="60"/>
        <v>20606</v>
      </c>
      <c r="F92" s="170" t="s">
        <v>44</v>
      </c>
      <c r="G92" s="156">
        <v>462000</v>
      </c>
      <c r="H92" s="157">
        <v>462000</v>
      </c>
      <c r="I92" s="158">
        <v>400000</v>
      </c>
      <c r="J92" s="159">
        <v>400000</v>
      </c>
      <c r="K92" s="158"/>
      <c r="L92" s="159"/>
      <c r="M92" s="158">
        <v>500000</v>
      </c>
      <c r="N92" s="159">
        <v>350000</v>
      </c>
      <c r="O92" s="158">
        <v>500000</v>
      </c>
      <c r="P92" s="159"/>
      <c r="Q92" s="165">
        <f t="shared" si="61"/>
        <v>0</v>
      </c>
      <c r="R92" s="166">
        <f t="shared" si="61"/>
        <v>-350000</v>
      </c>
      <c r="S92" s="156">
        <v>154398</v>
      </c>
      <c r="T92" s="160"/>
      <c r="U92" s="164">
        <f>S92</f>
        <v>154398</v>
      </c>
      <c r="V92" s="161">
        <v>500000</v>
      </c>
      <c r="W92" s="158"/>
      <c r="X92" s="160"/>
      <c r="Y92" s="160"/>
      <c r="Z92" s="160">
        <f>W92</f>
        <v>0</v>
      </c>
      <c r="AA92" s="160"/>
      <c r="AB92" s="159"/>
      <c r="AC92" s="158">
        <f t="shared" si="52"/>
        <v>500000</v>
      </c>
      <c r="AD92" s="160"/>
      <c r="AE92" s="160"/>
      <c r="AF92" s="157"/>
      <c r="AG92" s="157">
        <f>AC92/2</f>
        <v>250000</v>
      </c>
      <c r="AH92" s="159">
        <f>AC92-AG92</f>
        <v>250000</v>
      </c>
      <c r="AI92" s="35">
        <f t="shared" si="53"/>
        <v>0</v>
      </c>
      <c r="AJ92" s="11">
        <f t="shared" si="54"/>
        <v>0</v>
      </c>
      <c r="AK92" s="11">
        <f t="shared" si="55"/>
        <v>0</v>
      </c>
      <c r="AL92" s="11">
        <f t="shared" si="56"/>
        <v>250000</v>
      </c>
      <c r="AM92" s="76">
        <f t="shared" si="57"/>
        <v>250000</v>
      </c>
      <c r="AN92" s="51">
        <f t="shared" si="58"/>
        <v>500000</v>
      </c>
      <c r="AO92" s="36"/>
      <c r="AP92" s="9"/>
      <c r="AQ92" s="9"/>
      <c r="AR92" s="9"/>
      <c r="AS92" s="9"/>
      <c r="AT92" s="9"/>
      <c r="AU92" s="9"/>
      <c r="AV92" s="9">
        <f t="shared" si="59"/>
        <v>0</v>
      </c>
      <c r="AW92" s="10">
        <f t="shared" si="51"/>
        <v>0</v>
      </c>
      <c r="AY92" s="11">
        <f t="shared" si="50"/>
        <v>0</v>
      </c>
    </row>
    <row r="93" spans="5:51" s="27" customFormat="1" ht="60" customHeight="1" x14ac:dyDescent="0.2">
      <c r="E93" s="151">
        <f t="shared" si="60"/>
        <v>20607</v>
      </c>
      <c r="F93" s="170" t="s">
        <v>324</v>
      </c>
      <c r="G93" s="156"/>
      <c r="H93" s="157"/>
      <c r="I93" s="158">
        <v>1300000</v>
      </c>
      <c r="J93" s="159">
        <v>1255000</v>
      </c>
      <c r="K93" s="158">
        <v>4000000</v>
      </c>
      <c r="L93" s="159">
        <f>180000+120000-601518</f>
        <v>-301518</v>
      </c>
      <c r="M93" s="158">
        <v>500000</v>
      </c>
      <c r="N93" s="159">
        <v>164500</v>
      </c>
      <c r="O93" s="158">
        <v>500000</v>
      </c>
      <c r="P93" s="159"/>
      <c r="Q93" s="165">
        <f t="shared" si="61"/>
        <v>0</v>
      </c>
      <c r="R93" s="166">
        <f t="shared" si="61"/>
        <v>-164500</v>
      </c>
      <c r="S93" s="156">
        <v>270000</v>
      </c>
      <c r="T93" s="160"/>
      <c r="U93" s="164">
        <f>S93</f>
        <v>270000</v>
      </c>
      <c r="V93" s="161">
        <v>500000</v>
      </c>
      <c r="W93" s="158"/>
      <c r="X93" s="160"/>
      <c r="Y93" s="160"/>
      <c r="Z93" s="160">
        <f>W93</f>
        <v>0</v>
      </c>
      <c r="AA93" s="160"/>
      <c r="AB93" s="159"/>
      <c r="AC93" s="158">
        <f t="shared" si="52"/>
        <v>500000</v>
      </c>
      <c r="AD93" s="160"/>
      <c r="AE93" s="160"/>
      <c r="AF93" s="157"/>
      <c r="AG93" s="157"/>
      <c r="AH93" s="159">
        <f>V93-Z93</f>
        <v>500000</v>
      </c>
      <c r="AI93" s="35">
        <f t="shared" si="53"/>
        <v>0</v>
      </c>
      <c r="AJ93" s="11">
        <f t="shared" si="54"/>
        <v>0</v>
      </c>
      <c r="AK93" s="11">
        <f t="shared" si="55"/>
        <v>0</v>
      </c>
      <c r="AL93" s="11">
        <f t="shared" si="56"/>
        <v>0</v>
      </c>
      <c r="AM93" s="76">
        <f t="shared" si="57"/>
        <v>500000</v>
      </c>
      <c r="AN93" s="51">
        <f t="shared" si="58"/>
        <v>500000</v>
      </c>
      <c r="AO93" s="36"/>
      <c r="AP93" s="9"/>
      <c r="AQ93" s="9"/>
      <c r="AR93" s="9"/>
      <c r="AS93" s="9"/>
      <c r="AT93" s="9"/>
      <c r="AU93" s="9"/>
      <c r="AV93" s="9">
        <f t="shared" si="59"/>
        <v>0</v>
      </c>
      <c r="AW93" s="10">
        <f t="shared" si="51"/>
        <v>0</v>
      </c>
      <c r="AY93" s="11">
        <f t="shared" si="50"/>
        <v>0</v>
      </c>
    </row>
    <row r="94" spans="5:51" s="27" customFormat="1" ht="60" customHeight="1" x14ac:dyDescent="0.2">
      <c r="E94" s="151">
        <f t="shared" si="60"/>
        <v>20608</v>
      </c>
      <c r="F94" s="170" t="s">
        <v>45</v>
      </c>
      <c r="G94" s="156">
        <v>750000</v>
      </c>
      <c r="H94" s="157">
        <v>185000</v>
      </c>
      <c r="I94" s="158">
        <v>1000000</v>
      </c>
      <c r="J94" s="159">
        <v>1100000</v>
      </c>
      <c r="K94" s="158">
        <f>1000000+1000000</f>
        <v>2000000</v>
      </c>
      <c r="L94" s="159">
        <f>30000-84000</f>
        <v>-54000</v>
      </c>
      <c r="M94" s="158"/>
      <c r="N94" s="159"/>
      <c r="O94" s="158">
        <v>2000000</v>
      </c>
      <c r="P94" s="159"/>
      <c r="Q94" s="165">
        <f t="shared" si="61"/>
        <v>2000000</v>
      </c>
      <c r="R94" s="166">
        <f t="shared" si="61"/>
        <v>0</v>
      </c>
      <c r="S94" s="156"/>
      <c r="T94" s="160"/>
      <c r="U94" s="164"/>
      <c r="V94" s="161">
        <v>3000000</v>
      </c>
      <c r="W94" s="158">
        <v>2000000</v>
      </c>
      <c r="X94" s="160"/>
      <c r="Y94" s="160"/>
      <c r="Z94" s="160"/>
      <c r="AA94" s="160"/>
      <c r="AB94" s="159">
        <f>W94</f>
        <v>2000000</v>
      </c>
      <c r="AC94" s="158">
        <f t="shared" si="52"/>
        <v>1000000</v>
      </c>
      <c r="AD94" s="160"/>
      <c r="AE94" s="160"/>
      <c r="AF94" s="157"/>
      <c r="AG94" s="157"/>
      <c r="AH94" s="159">
        <f>AC94</f>
        <v>1000000</v>
      </c>
      <c r="AI94" s="35">
        <f t="shared" si="53"/>
        <v>0</v>
      </c>
      <c r="AJ94" s="11">
        <f t="shared" si="54"/>
        <v>0</v>
      </c>
      <c r="AK94" s="11">
        <f t="shared" si="55"/>
        <v>0</v>
      </c>
      <c r="AL94" s="11">
        <f t="shared" si="56"/>
        <v>0</v>
      </c>
      <c r="AM94" s="76">
        <f t="shared" si="57"/>
        <v>3000000</v>
      </c>
      <c r="AN94" s="51">
        <f t="shared" si="58"/>
        <v>3000000</v>
      </c>
      <c r="AO94" s="36"/>
      <c r="AP94" s="9"/>
      <c r="AQ94" s="9"/>
      <c r="AR94" s="9"/>
      <c r="AS94" s="9"/>
      <c r="AT94" s="9"/>
      <c r="AU94" s="9"/>
      <c r="AV94" s="9">
        <f t="shared" si="59"/>
        <v>0</v>
      </c>
      <c r="AW94" s="10">
        <f t="shared" si="51"/>
        <v>0</v>
      </c>
      <c r="AY94" s="11">
        <f t="shared" si="50"/>
        <v>0</v>
      </c>
    </row>
    <row r="95" spans="5:51" s="27" customFormat="1" ht="60" customHeight="1" x14ac:dyDescent="0.2">
      <c r="E95" s="151">
        <f t="shared" si="60"/>
        <v>20609</v>
      </c>
      <c r="F95" s="170" t="s">
        <v>46</v>
      </c>
      <c r="G95" s="156">
        <v>300000</v>
      </c>
      <c r="H95" s="157">
        <v>300000</v>
      </c>
      <c r="I95" s="158">
        <v>300000</v>
      </c>
      <c r="J95" s="159">
        <v>300000</v>
      </c>
      <c r="K95" s="158">
        <v>300000</v>
      </c>
      <c r="L95" s="159">
        <v>0</v>
      </c>
      <c r="M95" s="158">
        <v>300000</v>
      </c>
      <c r="N95" s="159">
        <v>300000</v>
      </c>
      <c r="O95" s="158">
        <v>340000</v>
      </c>
      <c r="P95" s="159">
        <v>40000</v>
      </c>
      <c r="Q95" s="165">
        <f t="shared" si="61"/>
        <v>40000</v>
      </c>
      <c r="R95" s="166">
        <f t="shared" si="61"/>
        <v>-260000</v>
      </c>
      <c r="S95" s="156">
        <v>61008</v>
      </c>
      <c r="T95" s="160"/>
      <c r="U95" s="164">
        <f>S95</f>
        <v>61008</v>
      </c>
      <c r="V95" s="161">
        <v>300000</v>
      </c>
      <c r="W95" s="158">
        <v>300000</v>
      </c>
      <c r="X95" s="160"/>
      <c r="Y95" s="160"/>
      <c r="Z95" s="160"/>
      <c r="AA95" s="157">
        <f>W95/2</f>
        <v>150000</v>
      </c>
      <c r="AB95" s="159">
        <f>W95-AA95</f>
        <v>150000</v>
      </c>
      <c r="AC95" s="158">
        <f t="shared" si="52"/>
        <v>0</v>
      </c>
      <c r="AD95" s="160"/>
      <c r="AE95" s="160"/>
      <c r="AF95" s="157"/>
      <c r="AG95" s="157"/>
      <c r="AH95" s="159"/>
      <c r="AI95" s="35">
        <f t="shared" si="53"/>
        <v>0</v>
      </c>
      <c r="AJ95" s="11">
        <f t="shared" si="54"/>
        <v>0</v>
      </c>
      <c r="AK95" s="11">
        <f t="shared" si="55"/>
        <v>0</v>
      </c>
      <c r="AL95" s="11">
        <f t="shared" si="56"/>
        <v>150000</v>
      </c>
      <c r="AM95" s="76">
        <f t="shared" si="57"/>
        <v>150000</v>
      </c>
      <c r="AN95" s="51">
        <f t="shared" si="58"/>
        <v>300000</v>
      </c>
      <c r="AO95" s="36"/>
      <c r="AP95" s="9"/>
      <c r="AQ95" s="9"/>
      <c r="AR95" s="9"/>
      <c r="AS95" s="9"/>
      <c r="AT95" s="9"/>
      <c r="AU95" s="9"/>
      <c r="AV95" s="9">
        <f t="shared" si="59"/>
        <v>0</v>
      </c>
      <c r="AW95" s="10">
        <f t="shared" si="51"/>
        <v>0</v>
      </c>
      <c r="AY95" s="11">
        <f t="shared" si="50"/>
        <v>0</v>
      </c>
    </row>
    <row r="96" spans="5:51" s="27" customFormat="1" ht="60" customHeight="1" x14ac:dyDescent="0.2">
      <c r="E96" s="151">
        <f t="shared" si="60"/>
        <v>20610</v>
      </c>
      <c r="F96" s="170" t="s">
        <v>410</v>
      </c>
      <c r="G96" s="156">
        <v>100000</v>
      </c>
      <c r="H96" s="157">
        <v>0</v>
      </c>
      <c r="I96" s="158"/>
      <c r="J96" s="159"/>
      <c r="K96" s="158"/>
      <c r="L96" s="159"/>
      <c r="M96" s="158"/>
      <c r="N96" s="159"/>
      <c r="O96" s="158">
        <v>1000000</v>
      </c>
      <c r="P96" s="159"/>
      <c r="Q96" s="165">
        <f t="shared" si="61"/>
        <v>1000000</v>
      </c>
      <c r="R96" s="166">
        <f t="shared" si="61"/>
        <v>0</v>
      </c>
      <c r="S96" s="156"/>
      <c r="T96" s="160"/>
      <c r="U96" s="164"/>
      <c r="V96" s="161">
        <v>1000000</v>
      </c>
      <c r="W96" s="158"/>
      <c r="X96" s="160"/>
      <c r="Y96" s="160"/>
      <c r="Z96" s="160">
        <f>W96</f>
        <v>0</v>
      </c>
      <c r="AA96" s="160"/>
      <c r="AB96" s="159"/>
      <c r="AC96" s="158">
        <f t="shared" si="52"/>
        <v>1000000</v>
      </c>
      <c r="AD96" s="160"/>
      <c r="AE96" s="160"/>
      <c r="AF96" s="157"/>
      <c r="AG96" s="157"/>
      <c r="AH96" s="159">
        <f>V96-Z96</f>
        <v>1000000</v>
      </c>
      <c r="AI96" s="35">
        <f t="shared" si="53"/>
        <v>0</v>
      </c>
      <c r="AJ96" s="11">
        <f t="shared" si="54"/>
        <v>0</v>
      </c>
      <c r="AK96" s="11">
        <f t="shared" si="55"/>
        <v>0</v>
      </c>
      <c r="AL96" s="11">
        <f t="shared" si="56"/>
        <v>0</v>
      </c>
      <c r="AM96" s="76">
        <f t="shared" si="57"/>
        <v>1000000</v>
      </c>
      <c r="AN96" s="51">
        <f t="shared" si="58"/>
        <v>1000000</v>
      </c>
      <c r="AO96" s="36"/>
      <c r="AP96" s="9"/>
      <c r="AQ96" s="9"/>
      <c r="AR96" s="9"/>
      <c r="AS96" s="9"/>
      <c r="AT96" s="9"/>
      <c r="AU96" s="9"/>
      <c r="AV96" s="9"/>
      <c r="AW96" s="10"/>
      <c r="AY96" s="11">
        <f t="shared" si="50"/>
        <v>0</v>
      </c>
    </row>
    <row r="97" spans="5:51" s="27" customFormat="1" ht="60" customHeight="1" x14ac:dyDescent="0.2">
      <c r="E97" s="151">
        <f t="shared" si="60"/>
        <v>20611</v>
      </c>
      <c r="F97" s="170" t="s">
        <v>47</v>
      </c>
      <c r="G97" s="156">
        <v>600000</v>
      </c>
      <c r="H97" s="157">
        <v>0</v>
      </c>
      <c r="I97" s="158">
        <v>500000</v>
      </c>
      <c r="J97" s="159">
        <v>155000</v>
      </c>
      <c r="K97" s="158">
        <v>2000000</v>
      </c>
      <c r="L97" s="159">
        <f>70000+150000+350000</f>
        <v>570000</v>
      </c>
      <c r="M97" s="158">
        <v>1933000</v>
      </c>
      <c r="N97" s="159">
        <f>132200+810000+553000-750000+520000</f>
        <v>1265200</v>
      </c>
      <c r="O97" s="158">
        <v>800000</v>
      </c>
      <c r="P97" s="159">
        <v>450000</v>
      </c>
      <c r="Q97" s="165">
        <f t="shared" si="61"/>
        <v>-1133000</v>
      </c>
      <c r="R97" s="166">
        <f t="shared" si="61"/>
        <v>-815200</v>
      </c>
      <c r="S97" s="156">
        <v>547070</v>
      </c>
      <c r="T97" s="160"/>
      <c r="U97" s="164">
        <f>S97</f>
        <v>547070</v>
      </c>
      <c r="V97" s="161">
        <v>800000</v>
      </c>
      <c r="W97" s="158">
        <v>500000</v>
      </c>
      <c r="X97" s="160"/>
      <c r="Y97" s="160"/>
      <c r="Z97" s="160"/>
      <c r="AA97" s="157">
        <f>W97/2</f>
        <v>250000</v>
      </c>
      <c r="AB97" s="159">
        <f>W97-AA97</f>
        <v>250000</v>
      </c>
      <c r="AC97" s="158">
        <f t="shared" si="52"/>
        <v>300000</v>
      </c>
      <c r="AD97" s="160"/>
      <c r="AE97" s="160"/>
      <c r="AF97" s="157"/>
      <c r="AG97" s="157">
        <f>AC97/2</f>
        <v>150000</v>
      </c>
      <c r="AH97" s="159">
        <f>AC97-AG97</f>
        <v>150000</v>
      </c>
      <c r="AI97" s="35">
        <f t="shared" si="53"/>
        <v>0</v>
      </c>
      <c r="AJ97" s="11">
        <f t="shared" si="54"/>
        <v>0</v>
      </c>
      <c r="AK97" s="11">
        <f t="shared" si="55"/>
        <v>0</v>
      </c>
      <c r="AL97" s="11">
        <f t="shared" si="56"/>
        <v>400000</v>
      </c>
      <c r="AM97" s="76">
        <f t="shared" si="57"/>
        <v>400000</v>
      </c>
      <c r="AN97" s="51">
        <f t="shared" si="58"/>
        <v>800000</v>
      </c>
      <c r="AO97" s="36"/>
      <c r="AP97" s="9"/>
      <c r="AQ97" s="9"/>
      <c r="AR97" s="9"/>
      <c r="AS97" s="9"/>
      <c r="AT97" s="9"/>
      <c r="AU97" s="9"/>
      <c r="AV97" s="9">
        <f t="shared" si="59"/>
        <v>0</v>
      </c>
      <c r="AW97" s="10">
        <f t="shared" si="51"/>
        <v>0</v>
      </c>
      <c r="AY97" s="11">
        <f t="shared" si="50"/>
        <v>0</v>
      </c>
    </row>
    <row r="98" spans="5:51" s="27" customFormat="1" ht="60" customHeight="1" x14ac:dyDescent="0.2">
      <c r="E98" s="151">
        <f t="shared" si="60"/>
        <v>20612</v>
      </c>
      <c r="F98" s="170" t="s">
        <v>48</v>
      </c>
      <c r="G98" s="156">
        <v>100000</v>
      </c>
      <c r="H98" s="157">
        <v>0</v>
      </c>
      <c r="I98" s="158">
        <v>50000</v>
      </c>
      <c r="J98" s="159">
        <v>0</v>
      </c>
      <c r="K98" s="158">
        <v>50000</v>
      </c>
      <c r="L98" s="159">
        <v>0</v>
      </c>
      <c r="M98" s="158">
        <v>50000</v>
      </c>
      <c r="N98" s="159">
        <v>50000</v>
      </c>
      <c r="O98" s="158">
        <v>50000</v>
      </c>
      <c r="P98" s="159"/>
      <c r="Q98" s="165">
        <f t="shared" si="61"/>
        <v>0</v>
      </c>
      <c r="R98" s="166">
        <f t="shared" si="61"/>
        <v>-50000</v>
      </c>
      <c r="S98" s="156">
        <v>26887</v>
      </c>
      <c r="T98" s="160"/>
      <c r="U98" s="164">
        <f>S98</f>
        <v>26887</v>
      </c>
      <c r="V98" s="161">
        <v>50000</v>
      </c>
      <c r="W98" s="158">
        <v>50000</v>
      </c>
      <c r="X98" s="160"/>
      <c r="Y98" s="160"/>
      <c r="Z98" s="160"/>
      <c r="AA98" s="160">
        <f>W98</f>
        <v>50000</v>
      </c>
      <c r="AB98" s="159"/>
      <c r="AC98" s="158">
        <f t="shared" si="52"/>
        <v>0</v>
      </c>
      <c r="AD98" s="160"/>
      <c r="AE98" s="160"/>
      <c r="AF98" s="157"/>
      <c r="AG98" s="157"/>
      <c r="AH98" s="159"/>
      <c r="AI98" s="35">
        <f t="shared" si="53"/>
        <v>0</v>
      </c>
      <c r="AJ98" s="11">
        <f t="shared" si="54"/>
        <v>0</v>
      </c>
      <c r="AK98" s="11">
        <f t="shared" si="55"/>
        <v>0</v>
      </c>
      <c r="AL98" s="11">
        <f t="shared" si="56"/>
        <v>50000</v>
      </c>
      <c r="AM98" s="76">
        <f t="shared" si="57"/>
        <v>0</v>
      </c>
      <c r="AN98" s="51">
        <f t="shared" si="58"/>
        <v>50000</v>
      </c>
      <c r="AO98" s="36"/>
      <c r="AP98" s="9"/>
      <c r="AQ98" s="9"/>
      <c r="AR98" s="9"/>
      <c r="AS98" s="9"/>
      <c r="AT98" s="9"/>
      <c r="AU98" s="9"/>
      <c r="AV98" s="9">
        <f t="shared" si="59"/>
        <v>0</v>
      </c>
      <c r="AW98" s="10">
        <f t="shared" si="51"/>
        <v>0</v>
      </c>
      <c r="AY98" s="11">
        <f t="shared" si="50"/>
        <v>0</v>
      </c>
    </row>
    <row r="99" spans="5:51" s="27" customFormat="1" ht="60" customHeight="1" x14ac:dyDescent="0.2">
      <c r="E99" s="151">
        <f t="shared" si="60"/>
        <v>20613</v>
      </c>
      <c r="F99" s="170" t="s">
        <v>274</v>
      </c>
      <c r="G99" s="156">
        <v>10000000</v>
      </c>
      <c r="H99" s="157">
        <v>5034000</v>
      </c>
      <c r="I99" s="158">
        <v>38500000</v>
      </c>
      <c r="J99" s="159">
        <v>23666500</v>
      </c>
      <c r="K99" s="158">
        <v>25000000</v>
      </c>
      <c r="L99" s="159">
        <f>109000+486000</f>
        <v>595000</v>
      </c>
      <c r="M99" s="158">
        <v>20000000</v>
      </c>
      <c r="N99" s="159">
        <f>400000+307000+280000</f>
        <v>987000</v>
      </c>
      <c r="O99" s="158">
        <v>20000000</v>
      </c>
      <c r="P99" s="159">
        <v>6850000</v>
      </c>
      <c r="Q99" s="165">
        <f t="shared" si="61"/>
        <v>0</v>
      </c>
      <c r="R99" s="166">
        <f t="shared" si="61"/>
        <v>5863000</v>
      </c>
      <c r="S99" s="156">
        <v>10712017</v>
      </c>
      <c r="T99" s="160">
        <f>S99</f>
        <v>10712017</v>
      </c>
      <c r="U99" s="164">
        <v>0</v>
      </c>
      <c r="V99" s="161">
        <v>20000000</v>
      </c>
      <c r="W99" s="158">
        <v>20000000</v>
      </c>
      <c r="X99" s="160">
        <f>W99</f>
        <v>20000000</v>
      </c>
      <c r="Y99" s="160"/>
      <c r="Z99" s="160"/>
      <c r="AA99" s="160"/>
      <c r="AB99" s="159"/>
      <c r="AC99" s="158">
        <f t="shared" si="52"/>
        <v>0</v>
      </c>
      <c r="AD99" s="160"/>
      <c r="AE99" s="160"/>
      <c r="AF99" s="157"/>
      <c r="AG99" s="157"/>
      <c r="AH99" s="159"/>
      <c r="AI99" s="35">
        <f t="shared" si="53"/>
        <v>20000000</v>
      </c>
      <c r="AJ99" s="11">
        <f t="shared" si="54"/>
        <v>0</v>
      </c>
      <c r="AK99" s="11">
        <f t="shared" si="55"/>
        <v>0</v>
      </c>
      <c r="AL99" s="11">
        <f t="shared" si="56"/>
        <v>0</v>
      </c>
      <c r="AM99" s="76">
        <f t="shared" si="57"/>
        <v>0</v>
      </c>
      <c r="AN99" s="51">
        <f t="shared" si="58"/>
        <v>0</v>
      </c>
      <c r="AO99" s="36"/>
      <c r="AP99" s="9"/>
      <c r="AQ99" s="9"/>
      <c r="AR99" s="9"/>
      <c r="AS99" s="9"/>
      <c r="AT99" s="9"/>
      <c r="AU99" s="9"/>
      <c r="AV99" s="9"/>
      <c r="AW99" s="10"/>
      <c r="AY99" s="11">
        <f t="shared" si="50"/>
        <v>0</v>
      </c>
    </row>
    <row r="100" spans="5:51" s="27" customFormat="1" ht="60" customHeight="1" x14ac:dyDescent="0.2">
      <c r="E100" s="151">
        <f t="shared" si="60"/>
        <v>20614</v>
      </c>
      <c r="F100" s="170" t="s">
        <v>230</v>
      </c>
      <c r="G100" s="156"/>
      <c r="H100" s="157"/>
      <c r="I100" s="158"/>
      <c r="J100" s="159"/>
      <c r="K100" s="158">
        <v>300000</v>
      </c>
      <c r="L100" s="159">
        <v>300000</v>
      </c>
      <c r="M100" s="158">
        <v>350000</v>
      </c>
      <c r="N100" s="159">
        <v>350000</v>
      </c>
      <c r="O100" s="158">
        <v>350000</v>
      </c>
      <c r="P100" s="159">
        <v>350000</v>
      </c>
      <c r="Q100" s="165">
        <f t="shared" si="61"/>
        <v>0</v>
      </c>
      <c r="R100" s="166">
        <f t="shared" si="61"/>
        <v>0</v>
      </c>
      <c r="S100" s="156">
        <v>195056</v>
      </c>
      <c r="T100" s="160"/>
      <c r="U100" s="164">
        <f>S100</f>
        <v>195056</v>
      </c>
      <c r="V100" s="161">
        <v>350000</v>
      </c>
      <c r="W100" s="158">
        <v>350000</v>
      </c>
      <c r="X100" s="160"/>
      <c r="Y100" s="160">
        <f>W100</f>
        <v>350000</v>
      </c>
      <c r="Z100" s="160"/>
      <c r="AA100" s="160"/>
      <c r="AB100" s="159"/>
      <c r="AC100" s="158">
        <f t="shared" si="52"/>
        <v>0</v>
      </c>
      <c r="AD100" s="160"/>
      <c r="AE100" s="160"/>
      <c r="AF100" s="157"/>
      <c r="AG100" s="157"/>
      <c r="AH100" s="159"/>
      <c r="AI100" s="35">
        <f t="shared" si="53"/>
        <v>0</v>
      </c>
      <c r="AJ100" s="11">
        <f t="shared" si="54"/>
        <v>350000</v>
      </c>
      <c r="AK100" s="11">
        <f t="shared" si="55"/>
        <v>0</v>
      </c>
      <c r="AL100" s="11">
        <f t="shared" si="56"/>
        <v>0</v>
      </c>
      <c r="AM100" s="76">
        <f t="shared" si="57"/>
        <v>0</v>
      </c>
      <c r="AN100" s="51">
        <f t="shared" si="58"/>
        <v>350000</v>
      </c>
      <c r="AO100" s="36"/>
      <c r="AP100" s="9"/>
      <c r="AQ100" s="9"/>
      <c r="AR100" s="9"/>
      <c r="AS100" s="9"/>
      <c r="AT100" s="9"/>
      <c r="AU100" s="9"/>
      <c r="AV100" s="9">
        <f t="shared" si="59"/>
        <v>0</v>
      </c>
      <c r="AW100" s="10"/>
      <c r="AY100" s="11">
        <f t="shared" si="50"/>
        <v>0</v>
      </c>
    </row>
    <row r="101" spans="5:51" s="27" customFormat="1" ht="60" customHeight="1" x14ac:dyDescent="0.2">
      <c r="E101" s="151">
        <f t="shared" si="60"/>
        <v>20615</v>
      </c>
      <c r="F101" s="170" t="s">
        <v>516</v>
      </c>
      <c r="G101" s="156"/>
      <c r="H101" s="157"/>
      <c r="I101" s="158"/>
      <c r="J101" s="159"/>
      <c r="K101" s="158"/>
      <c r="L101" s="159"/>
      <c r="M101" s="158"/>
      <c r="N101" s="159"/>
      <c r="O101" s="158"/>
      <c r="P101" s="159"/>
      <c r="Q101" s="165"/>
      <c r="R101" s="166"/>
      <c r="S101" s="156"/>
      <c r="T101" s="160"/>
      <c r="U101" s="164"/>
      <c r="V101" s="161">
        <v>1000000</v>
      </c>
      <c r="W101" s="158">
        <v>0</v>
      </c>
      <c r="X101" s="160"/>
      <c r="Y101" s="160"/>
      <c r="Z101" s="160">
        <f>W101</f>
        <v>0</v>
      </c>
      <c r="AA101" s="160"/>
      <c r="AB101" s="159"/>
      <c r="AC101" s="158">
        <f t="shared" si="52"/>
        <v>1000000</v>
      </c>
      <c r="AD101" s="160"/>
      <c r="AE101" s="160">
        <f>AC101</f>
        <v>1000000</v>
      </c>
      <c r="AF101" s="157"/>
      <c r="AG101" s="157"/>
      <c r="AH101" s="159"/>
      <c r="AI101" s="35">
        <f t="shared" si="53"/>
        <v>0</v>
      </c>
      <c r="AJ101" s="11">
        <f t="shared" si="54"/>
        <v>1000000</v>
      </c>
      <c r="AK101" s="11">
        <f t="shared" si="55"/>
        <v>0</v>
      </c>
      <c r="AL101" s="11">
        <f t="shared" si="56"/>
        <v>0</v>
      </c>
      <c r="AM101" s="76">
        <f t="shared" si="57"/>
        <v>0</v>
      </c>
      <c r="AN101" s="51">
        <f t="shared" si="58"/>
        <v>1000000</v>
      </c>
      <c r="AO101" s="36"/>
      <c r="AP101" s="9"/>
      <c r="AQ101" s="9"/>
      <c r="AR101" s="9"/>
      <c r="AS101" s="9"/>
      <c r="AT101" s="9"/>
      <c r="AU101" s="9"/>
      <c r="AV101" s="9"/>
      <c r="AW101" s="10"/>
      <c r="AY101" s="11">
        <f t="shared" si="50"/>
        <v>0</v>
      </c>
    </row>
    <row r="102" spans="5:51" ht="60" customHeight="1" x14ac:dyDescent="0.2">
      <c r="E102" s="149"/>
      <c r="F102" s="127" t="s">
        <v>49</v>
      </c>
      <c r="G102" s="118">
        <f t="shared" ref="G102:AW102" si="62">SUM(G87:G101)</f>
        <v>15084000</v>
      </c>
      <c r="H102" s="116">
        <f t="shared" si="62"/>
        <v>7903000</v>
      </c>
      <c r="I102" s="115">
        <f t="shared" si="62"/>
        <v>44700000</v>
      </c>
      <c r="J102" s="117">
        <f t="shared" si="62"/>
        <v>29251500</v>
      </c>
      <c r="K102" s="115">
        <f t="shared" si="62"/>
        <v>36600000</v>
      </c>
      <c r="L102" s="117">
        <f t="shared" si="62"/>
        <v>3367373</v>
      </c>
      <c r="M102" s="115">
        <f t="shared" si="62"/>
        <v>26233000</v>
      </c>
      <c r="N102" s="117">
        <f t="shared" si="62"/>
        <v>5926700</v>
      </c>
      <c r="O102" s="115">
        <f t="shared" si="62"/>
        <v>32040000</v>
      </c>
      <c r="P102" s="117">
        <f t="shared" si="62"/>
        <v>8430000</v>
      </c>
      <c r="Q102" s="115">
        <f t="shared" si="62"/>
        <v>5807000</v>
      </c>
      <c r="R102" s="117">
        <f t="shared" si="62"/>
        <v>2503300</v>
      </c>
      <c r="S102" s="118">
        <f t="shared" si="62"/>
        <v>13523323</v>
      </c>
      <c r="T102" s="118">
        <f t="shared" si="62"/>
        <v>10712017</v>
      </c>
      <c r="U102" s="118">
        <f t="shared" si="62"/>
        <v>2811306</v>
      </c>
      <c r="V102" s="119">
        <f t="shared" si="62"/>
        <v>41200000</v>
      </c>
      <c r="W102" s="115">
        <f t="shared" ref="W102:AM102" si="63">SUM(W87:W101)</f>
        <v>27600000</v>
      </c>
      <c r="X102" s="120">
        <f t="shared" si="63"/>
        <v>20000000</v>
      </c>
      <c r="Y102" s="120">
        <f t="shared" si="63"/>
        <v>550000</v>
      </c>
      <c r="Z102" s="120">
        <f t="shared" si="63"/>
        <v>0</v>
      </c>
      <c r="AA102" s="120">
        <f t="shared" si="63"/>
        <v>1450000</v>
      </c>
      <c r="AB102" s="117">
        <f t="shared" si="63"/>
        <v>5600000</v>
      </c>
      <c r="AC102" s="115">
        <f t="shared" si="63"/>
        <v>13600000</v>
      </c>
      <c r="AD102" s="120">
        <f t="shared" si="63"/>
        <v>0</v>
      </c>
      <c r="AE102" s="120">
        <f t="shared" si="63"/>
        <v>1200000</v>
      </c>
      <c r="AF102" s="116">
        <f t="shared" si="63"/>
        <v>0</v>
      </c>
      <c r="AG102" s="116">
        <f t="shared" si="63"/>
        <v>2400000</v>
      </c>
      <c r="AH102" s="117">
        <f t="shared" si="63"/>
        <v>10000000</v>
      </c>
      <c r="AI102" s="47">
        <f t="shared" si="63"/>
        <v>20000000</v>
      </c>
      <c r="AJ102" s="10">
        <f t="shared" si="63"/>
        <v>1750000</v>
      </c>
      <c r="AK102" s="10">
        <f t="shared" si="63"/>
        <v>0</v>
      </c>
      <c r="AL102" s="10">
        <f t="shared" si="63"/>
        <v>3850000</v>
      </c>
      <c r="AM102" s="48">
        <f t="shared" si="63"/>
        <v>15600000</v>
      </c>
      <c r="AN102" s="52">
        <f t="shared" si="62"/>
        <v>21200000</v>
      </c>
      <c r="AO102" s="47">
        <f t="shared" si="62"/>
        <v>0</v>
      </c>
      <c r="AP102" s="47">
        <f t="shared" si="62"/>
        <v>0</v>
      </c>
      <c r="AQ102" s="47">
        <f t="shared" si="62"/>
        <v>0</v>
      </c>
      <c r="AR102" s="47">
        <f t="shared" si="62"/>
        <v>0</v>
      </c>
      <c r="AS102" s="47">
        <f t="shared" si="62"/>
        <v>0</v>
      </c>
      <c r="AT102" s="47">
        <f t="shared" si="62"/>
        <v>0</v>
      </c>
      <c r="AU102" s="47">
        <f t="shared" si="62"/>
        <v>0</v>
      </c>
      <c r="AV102" s="47">
        <f t="shared" si="62"/>
        <v>0</v>
      </c>
      <c r="AW102" s="47">
        <f t="shared" si="62"/>
        <v>0</v>
      </c>
      <c r="AY102" s="11">
        <f t="shared" si="50"/>
        <v>0</v>
      </c>
    </row>
    <row r="103" spans="5:51" ht="60" customHeight="1" x14ac:dyDescent="0.2">
      <c r="E103" s="150"/>
      <c r="F103" s="127" t="s">
        <v>50</v>
      </c>
      <c r="G103" s="118">
        <f t="shared" ref="G103:AW103" si="64">G102+G85+G71+G67+G28+G22</f>
        <v>97414000</v>
      </c>
      <c r="H103" s="116">
        <f t="shared" si="64"/>
        <v>49735961</v>
      </c>
      <c r="I103" s="115">
        <f t="shared" si="64"/>
        <v>161055000</v>
      </c>
      <c r="J103" s="117">
        <f t="shared" si="64"/>
        <v>68974254</v>
      </c>
      <c r="K103" s="115">
        <f t="shared" si="64"/>
        <v>138150000</v>
      </c>
      <c r="L103" s="117">
        <f t="shared" si="64"/>
        <v>39187106</v>
      </c>
      <c r="M103" s="115">
        <f t="shared" si="64"/>
        <v>115833000</v>
      </c>
      <c r="N103" s="117">
        <f t="shared" si="64"/>
        <v>67408798</v>
      </c>
      <c r="O103" s="115">
        <f t="shared" si="64"/>
        <v>167571940</v>
      </c>
      <c r="P103" s="117">
        <f t="shared" si="64"/>
        <v>73543602</v>
      </c>
      <c r="Q103" s="115">
        <f t="shared" si="64"/>
        <v>51738940</v>
      </c>
      <c r="R103" s="117">
        <f t="shared" si="64"/>
        <v>6134804</v>
      </c>
      <c r="S103" s="118">
        <f t="shared" si="64"/>
        <v>130404799</v>
      </c>
      <c r="T103" s="118">
        <f t="shared" si="64"/>
        <v>11645492.699999999</v>
      </c>
      <c r="U103" s="118">
        <f t="shared" si="64"/>
        <v>118759306.3</v>
      </c>
      <c r="V103" s="119">
        <f t="shared" si="64"/>
        <v>361700000</v>
      </c>
      <c r="W103" s="115">
        <f t="shared" ref="W103:AM103" si="65">W102+W85+W71+W67+W28+W22</f>
        <v>149125000</v>
      </c>
      <c r="X103" s="120">
        <f t="shared" si="65"/>
        <v>43430000</v>
      </c>
      <c r="Y103" s="120">
        <f t="shared" si="65"/>
        <v>50075000</v>
      </c>
      <c r="Z103" s="120">
        <f t="shared" si="65"/>
        <v>43800000</v>
      </c>
      <c r="AA103" s="120">
        <f t="shared" si="65"/>
        <v>3220000</v>
      </c>
      <c r="AB103" s="117">
        <f t="shared" si="65"/>
        <v>8600000</v>
      </c>
      <c r="AC103" s="115">
        <f t="shared" si="65"/>
        <v>212575000</v>
      </c>
      <c r="AD103" s="120">
        <f t="shared" si="65"/>
        <v>9450000</v>
      </c>
      <c r="AE103" s="120">
        <f t="shared" si="65"/>
        <v>73575000</v>
      </c>
      <c r="AF103" s="116">
        <f t="shared" si="65"/>
        <v>114590000</v>
      </c>
      <c r="AG103" s="116">
        <f t="shared" si="65"/>
        <v>3960000</v>
      </c>
      <c r="AH103" s="117">
        <f t="shared" si="65"/>
        <v>11000000</v>
      </c>
      <c r="AI103" s="47">
        <f t="shared" si="65"/>
        <v>52880000</v>
      </c>
      <c r="AJ103" s="10">
        <f t="shared" si="65"/>
        <v>123650000</v>
      </c>
      <c r="AK103" s="10">
        <f t="shared" si="65"/>
        <v>158390000</v>
      </c>
      <c r="AL103" s="10">
        <f t="shared" si="65"/>
        <v>7180000</v>
      </c>
      <c r="AM103" s="48">
        <f t="shared" si="65"/>
        <v>19600000</v>
      </c>
      <c r="AN103" s="52">
        <f t="shared" si="64"/>
        <v>264620000</v>
      </c>
      <c r="AO103" s="47">
        <f t="shared" si="64"/>
        <v>0</v>
      </c>
      <c r="AP103" s="47">
        <f t="shared" si="64"/>
        <v>0</v>
      </c>
      <c r="AQ103" s="47">
        <f t="shared" si="64"/>
        <v>0</v>
      </c>
      <c r="AR103" s="47">
        <f t="shared" si="64"/>
        <v>0</v>
      </c>
      <c r="AS103" s="47">
        <f t="shared" si="64"/>
        <v>0</v>
      </c>
      <c r="AT103" s="47">
        <f t="shared" si="64"/>
        <v>0</v>
      </c>
      <c r="AU103" s="47">
        <f t="shared" si="64"/>
        <v>0</v>
      </c>
      <c r="AV103" s="47">
        <f t="shared" si="64"/>
        <v>0</v>
      </c>
      <c r="AW103" s="47">
        <f t="shared" si="64"/>
        <v>0</v>
      </c>
      <c r="AY103" s="11">
        <f t="shared" si="50"/>
        <v>0</v>
      </c>
    </row>
    <row r="104" spans="5:51" ht="60" customHeight="1" x14ac:dyDescent="0.2">
      <c r="E104" s="151"/>
      <c r="F104" s="155" t="s">
        <v>51</v>
      </c>
      <c r="G104" s="156"/>
      <c r="H104" s="157"/>
      <c r="I104" s="158"/>
      <c r="J104" s="159"/>
      <c r="K104" s="158"/>
      <c r="L104" s="159"/>
      <c r="M104" s="158"/>
      <c r="N104" s="159"/>
      <c r="O104" s="158"/>
      <c r="P104" s="159"/>
      <c r="Q104" s="158"/>
      <c r="R104" s="159"/>
      <c r="S104" s="156"/>
      <c r="T104" s="160"/>
      <c r="U104" s="157"/>
      <c r="V104" s="161"/>
      <c r="W104" s="158"/>
      <c r="X104" s="160"/>
      <c r="Y104" s="160"/>
      <c r="Z104" s="160"/>
      <c r="AA104" s="160"/>
      <c r="AB104" s="159"/>
      <c r="AC104" s="158"/>
      <c r="AD104" s="160"/>
      <c r="AE104" s="160"/>
      <c r="AF104" s="157"/>
      <c r="AG104" s="157"/>
      <c r="AH104" s="159"/>
      <c r="AI104" s="45"/>
      <c r="AJ104" s="9"/>
      <c r="AK104" s="9"/>
      <c r="AL104" s="9"/>
      <c r="AM104" s="46"/>
      <c r="AN104" s="50"/>
      <c r="AO104" s="36"/>
      <c r="AP104" s="9"/>
      <c r="AQ104" s="9"/>
      <c r="AR104" s="9"/>
      <c r="AS104" s="9"/>
      <c r="AT104" s="9"/>
      <c r="AU104" s="9"/>
      <c r="AV104" s="9"/>
      <c r="AW104" s="10">
        <f t="shared" si="51"/>
        <v>0</v>
      </c>
      <c r="AY104" s="11">
        <f t="shared" si="50"/>
        <v>0</v>
      </c>
    </row>
    <row r="105" spans="5:51" ht="60" customHeight="1" x14ac:dyDescent="0.2">
      <c r="E105" s="151"/>
      <c r="F105" s="155" t="s">
        <v>52</v>
      </c>
      <c r="G105" s="156"/>
      <c r="H105" s="157"/>
      <c r="I105" s="158"/>
      <c r="J105" s="159"/>
      <c r="K105" s="158"/>
      <c r="L105" s="159"/>
      <c r="M105" s="158"/>
      <c r="N105" s="159"/>
      <c r="O105" s="158"/>
      <c r="P105" s="159"/>
      <c r="Q105" s="158"/>
      <c r="R105" s="159"/>
      <c r="S105" s="156"/>
      <c r="T105" s="160"/>
      <c r="U105" s="157"/>
      <c r="V105" s="161"/>
      <c r="W105" s="158"/>
      <c r="X105" s="160"/>
      <c r="Y105" s="160"/>
      <c r="Z105" s="160"/>
      <c r="AA105" s="160"/>
      <c r="AB105" s="159"/>
      <c r="AC105" s="158"/>
      <c r="AD105" s="160"/>
      <c r="AE105" s="160"/>
      <c r="AF105" s="157"/>
      <c r="AG105" s="157"/>
      <c r="AH105" s="159"/>
      <c r="AI105" s="45"/>
      <c r="AJ105" s="9"/>
      <c r="AK105" s="9"/>
      <c r="AL105" s="9"/>
      <c r="AM105" s="46"/>
      <c r="AN105" s="50"/>
      <c r="AO105" s="36"/>
      <c r="AP105" s="9"/>
      <c r="AQ105" s="9"/>
      <c r="AR105" s="9"/>
      <c r="AS105" s="9"/>
      <c r="AT105" s="9"/>
      <c r="AU105" s="9"/>
      <c r="AV105" s="9"/>
      <c r="AW105" s="10">
        <f t="shared" si="51"/>
        <v>0</v>
      </c>
      <c r="AY105" s="11">
        <f t="shared" si="50"/>
        <v>0</v>
      </c>
    </row>
    <row r="106" spans="5:51" ht="60" customHeight="1" x14ac:dyDescent="0.2">
      <c r="E106" s="151">
        <v>30100</v>
      </c>
      <c r="F106" s="155" t="s">
        <v>53</v>
      </c>
      <c r="G106" s="156"/>
      <c r="H106" s="157"/>
      <c r="I106" s="158"/>
      <c r="J106" s="159"/>
      <c r="K106" s="158"/>
      <c r="L106" s="159"/>
      <c r="M106" s="158"/>
      <c r="N106" s="159"/>
      <c r="O106" s="158"/>
      <c r="P106" s="159"/>
      <c r="Q106" s="158"/>
      <c r="R106" s="159"/>
      <c r="S106" s="156"/>
      <c r="T106" s="160"/>
      <c r="U106" s="157"/>
      <c r="V106" s="161"/>
      <c r="W106" s="158"/>
      <c r="X106" s="160"/>
      <c r="Y106" s="160"/>
      <c r="Z106" s="160"/>
      <c r="AA106" s="160"/>
      <c r="AB106" s="159"/>
      <c r="AC106" s="158"/>
      <c r="AD106" s="160"/>
      <c r="AE106" s="160"/>
      <c r="AF106" s="157"/>
      <c r="AG106" s="157"/>
      <c r="AH106" s="159"/>
      <c r="AI106" s="45"/>
      <c r="AJ106" s="9"/>
      <c r="AK106" s="9"/>
      <c r="AL106" s="9"/>
      <c r="AM106" s="46"/>
      <c r="AN106" s="50"/>
      <c r="AO106" s="36"/>
      <c r="AP106" s="9"/>
      <c r="AQ106" s="9"/>
      <c r="AR106" s="9"/>
      <c r="AS106" s="9"/>
      <c r="AT106" s="9"/>
      <c r="AU106" s="9"/>
      <c r="AV106" s="9"/>
      <c r="AW106" s="10">
        <f t="shared" si="51"/>
        <v>0</v>
      </c>
      <c r="AY106" s="11">
        <f t="shared" si="50"/>
        <v>0</v>
      </c>
    </row>
    <row r="107" spans="5:51" ht="60" customHeight="1" x14ac:dyDescent="0.2">
      <c r="E107" s="151">
        <f>+E106+1</f>
        <v>30101</v>
      </c>
      <c r="F107" s="170" t="s">
        <v>53</v>
      </c>
      <c r="G107" s="156">
        <v>8350000</v>
      </c>
      <c r="H107" s="157">
        <v>2550000</v>
      </c>
      <c r="I107" s="158">
        <v>3600000</v>
      </c>
      <c r="J107" s="159">
        <v>3600000</v>
      </c>
      <c r="K107" s="158">
        <v>2919000</v>
      </c>
      <c r="L107" s="159">
        <f>625000+264343+625000+625000+625000+100000+54917</f>
        <v>2919260</v>
      </c>
      <c r="M107" s="158">
        <v>3025000</v>
      </c>
      <c r="N107" s="159">
        <v>3025000</v>
      </c>
      <c r="O107" s="158">
        <v>9650000</v>
      </c>
      <c r="P107" s="159">
        <v>9650000</v>
      </c>
      <c r="Q107" s="165">
        <f>O107-M107</f>
        <v>6625000</v>
      </c>
      <c r="R107" s="166">
        <f>P107-N107</f>
        <v>6625000</v>
      </c>
      <c r="S107" s="156">
        <v>1563000</v>
      </c>
      <c r="T107" s="160"/>
      <c r="U107" s="157">
        <f>+S107</f>
        <v>1563000</v>
      </c>
      <c r="V107" s="161">
        <v>3500000</v>
      </c>
      <c r="W107" s="158">
        <f>V107</f>
        <v>3500000</v>
      </c>
      <c r="X107" s="160"/>
      <c r="Y107" s="160"/>
      <c r="Z107" s="160"/>
      <c r="AA107" s="160">
        <f>W107/2</f>
        <v>1750000</v>
      </c>
      <c r="AB107" s="159">
        <f>W107/2</f>
        <v>1750000</v>
      </c>
      <c r="AC107" s="158">
        <f>V107-W107</f>
        <v>0</v>
      </c>
      <c r="AD107" s="160"/>
      <c r="AE107" s="160">
        <f>AC107/2</f>
        <v>0</v>
      </c>
      <c r="AF107" s="157"/>
      <c r="AG107" s="157"/>
      <c r="AH107" s="159">
        <f>AC107/2</f>
        <v>0</v>
      </c>
      <c r="AI107" s="35">
        <f t="shared" ref="AI107:AM111" si="66">AD107+X107</f>
        <v>0</v>
      </c>
      <c r="AJ107" s="11">
        <f t="shared" si="66"/>
        <v>0</v>
      </c>
      <c r="AK107" s="11">
        <f t="shared" si="66"/>
        <v>0</v>
      </c>
      <c r="AL107" s="11">
        <f t="shared" si="66"/>
        <v>1750000</v>
      </c>
      <c r="AM107" s="76">
        <f t="shared" si="66"/>
        <v>1750000</v>
      </c>
      <c r="AN107" s="51">
        <f>SUM(AJ107:AM107)</f>
        <v>3500000</v>
      </c>
      <c r="AO107" s="36"/>
      <c r="AP107" s="9"/>
      <c r="AQ107" s="9"/>
      <c r="AR107" s="9"/>
      <c r="AS107" s="9"/>
      <c r="AT107" s="9"/>
      <c r="AU107" s="9"/>
      <c r="AV107" s="9">
        <f>AU107+AT107+AS107+AR107</f>
        <v>0</v>
      </c>
      <c r="AW107" s="10">
        <f t="shared" si="51"/>
        <v>0</v>
      </c>
      <c r="AY107" s="11">
        <f t="shared" si="50"/>
        <v>0</v>
      </c>
    </row>
    <row r="108" spans="5:51" ht="60" customHeight="1" x14ac:dyDescent="0.2">
      <c r="E108" s="151">
        <f>+E107+1</f>
        <v>30102</v>
      </c>
      <c r="F108" s="170" t="s">
        <v>54</v>
      </c>
      <c r="G108" s="156">
        <v>350000</v>
      </c>
      <c r="H108" s="157">
        <v>350000</v>
      </c>
      <c r="I108" s="158">
        <v>350000</v>
      </c>
      <c r="J108" s="159">
        <f>I108</f>
        <v>350000</v>
      </c>
      <c r="K108" s="158">
        <v>300000</v>
      </c>
      <c r="L108" s="159">
        <v>300000</v>
      </c>
      <c r="M108" s="158">
        <v>200000</v>
      </c>
      <c r="N108" s="159">
        <v>200000</v>
      </c>
      <c r="O108" s="158">
        <v>200000</v>
      </c>
      <c r="P108" s="159">
        <v>200000</v>
      </c>
      <c r="Q108" s="165">
        <f t="shared" ref="Q108:R111" si="67">O108-M108</f>
        <v>0</v>
      </c>
      <c r="R108" s="166">
        <f t="shared" si="67"/>
        <v>0</v>
      </c>
      <c r="S108" s="156">
        <v>40000</v>
      </c>
      <c r="T108" s="160"/>
      <c r="U108" s="157">
        <f>+S108</f>
        <v>40000</v>
      </c>
      <c r="V108" s="161">
        <v>300000</v>
      </c>
      <c r="W108" s="158">
        <v>200000</v>
      </c>
      <c r="X108" s="160"/>
      <c r="Y108" s="160"/>
      <c r="Z108" s="160"/>
      <c r="AA108" s="160">
        <f>W108</f>
        <v>200000</v>
      </c>
      <c r="AB108" s="159"/>
      <c r="AC108" s="158">
        <f>V108-W108</f>
        <v>100000</v>
      </c>
      <c r="AD108" s="160"/>
      <c r="AE108" s="160"/>
      <c r="AF108" s="157"/>
      <c r="AG108" s="157">
        <f>AC108</f>
        <v>100000</v>
      </c>
      <c r="AH108" s="159"/>
      <c r="AI108" s="35">
        <f t="shared" si="66"/>
        <v>0</v>
      </c>
      <c r="AJ108" s="11">
        <f t="shared" si="66"/>
        <v>0</v>
      </c>
      <c r="AK108" s="11">
        <f t="shared" si="66"/>
        <v>0</v>
      </c>
      <c r="AL108" s="11">
        <f t="shared" si="66"/>
        <v>300000</v>
      </c>
      <c r="AM108" s="76">
        <f t="shared" si="66"/>
        <v>0</v>
      </c>
      <c r="AN108" s="51">
        <f>SUM(AJ108:AM108)</f>
        <v>300000</v>
      </c>
      <c r="AO108" s="36"/>
      <c r="AP108" s="9"/>
      <c r="AQ108" s="9"/>
      <c r="AR108" s="9"/>
      <c r="AS108" s="9"/>
      <c r="AT108" s="9"/>
      <c r="AU108" s="9"/>
      <c r="AV108" s="9">
        <f>AU108+AT108+AS108+AR108</f>
        <v>0</v>
      </c>
      <c r="AW108" s="10">
        <f t="shared" si="51"/>
        <v>0</v>
      </c>
      <c r="AY108" s="11">
        <f t="shared" si="50"/>
        <v>0</v>
      </c>
    </row>
    <row r="109" spans="5:51" ht="60" customHeight="1" x14ac:dyDescent="0.2">
      <c r="E109" s="151">
        <f>+E108+1</f>
        <v>30103</v>
      </c>
      <c r="F109" s="170" t="s">
        <v>55</v>
      </c>
      <c r="G109" s="156">
        <v>250000</v>
      </c>
      <c r="H109" s="157">
        <f>G109</f>
        <v>250000</v>
      </c>
      <c r="I109" s="158">
        <v>400000</v>
      </c>
      <c r="J109" s="159">
        <f>I109</f>
        <v>400000</v>
      </c>
      <c r="K109" s="158">
        <v>400000</v>
      </c>
      <c r="L109" s="159">
        <v>400000</v>
      </c>
      <c r="M109" s="158">
        <v>400000</v>
      </c>
      <c r="N109" s="159">
        <v>400000</v>
      </c>
      <c r="O109" s="158">
        <v>4000000</v>
      </c>
      <c r="P109" s="159">
        <v>4000000</v>
      </c>
      <c r="Q109" s="165">
        <f t="shared" si="67"/>
        <v>3600000</v>
      </c>
      <c r="R109" s="166">
        <f t="shared" si="67"/>
        <v>3600000</v>
      </c>
      <c r="S109" s="156">
        <v>452000</v>
      </c>
      <c r="T109" s="160"/>
      <c r="U109" s="157">
        <f>+S109</f>
        <v>452000</v>
      </c>
      <c r="V109" s="161">
        <v>4000000</v>
      </c>
      <c r="W109" s="158">
        <v>4000000</v>
      </c>
      <c r="X109" s="160"/>
      <c r="Y109" s="160"/>
      <c r="Z109" s="160"/>
      <c r="AA109" s="160">
        <f>W109/2</f>
        <v>2000000</v>
      </c>
      <c r="AB109" s="159">
        <f>W109/2</f>
        <v>2000000</v>
      </c>
      <c r="AC109" s="158">
        <f>V109-W109</f>
        <v>0</v>
      </c>
      <c r="AD109" s="160"/>
      <c r="AE109" s="160"/>
      <c r="AF109" s="157"/>
      <c r="AG109" s="157"/>
      <c r="AH109" s="159"/>
      <c r="AI109" s="35">
        <f t="shared" si="66"/>
        <v>0</v>
      </c>
      <c r="AJ109" s="11">
        <f t="shared" si="66"/>
        <v>0</v>
      </c>
      <c r="AK109" s="11">
        <f t="shared" si="66"/>
        <v>0</v>
      </c>
      <c r="AL109" s="11">
        <f t="shared" si="66"/>
        <v>2000000</v>
      </c>
      <c r="AM109" s="76">
        <f t="shared" si="66"/>
        <v>2000000</v>
      </c>
      <c r="AN109" s="51">
        <f>SUM(AJ109:AM109)</f>
        <v>4000000</v>
      </c>
      <c r="AO109" s="36"/>
      <c r="AP109" s="9"/>
      <c r="AQ109" s="9"/>
      <c r="AR109" s="9"/>
      <c r="AS109" s="9"/>
      <c r="AT109" s="9"/>
      <c r="AU109" s="9"/>
      <c r="AV109" s="9">
        <f>AU109+AT109+AS109+AR109</f>
        <v>0</v>
      </c>
      <c r="AW109" s="10">
        <f t="shared" si="51"/>
        <v>0</v>
      </c>
      <c r="AY109" s="11">
        <f t="shared" si="50"/>
        <v>0</v>
      </c>
    </row>
    <row r="110" spans="5:51" ht="60" customHeight="1" x14ac:dyDescent="0.2">
      <c r="E110" s="151">
        <f>+E109+1</f>
        <v>30104</v>
      </c>
      <c r="F110" s="170" t="s">
        <v>56</v>
      </c>
      <c r="G110" s="156">
        <v>250000</v>
      </c>
      <c r="H110" s="157">
        <f>G110</f>
        <v>250000</v>
      </c>
      <c r="I110" s="158">
        <v>200000</v>
      </c>
      <c r="J110" s="159">
        <f>I110</f>
        <v>200000</v>
      </c>
      <c r="K110" s="158">
        <v>200000</v>
      </c>
      <c r="L110" s="159">
        <v>100000</v>
      </c>
      <c r="M110" s="158">
        <v>250000</v>
      </c>
      <c r="N110" s="159">
        <v>250000</v>
      </c>
      <c r="O110" s="158">
        <v>250000</v>
      </c>
      <c r="P110" s="159">
        <v>250000</v>
      </c>
      <c r="Q110" s="165">
        <f t="shared" si="67"/>
        <v>0</v>
      </c>
      <c r="R110" s="166">
        <f t="shared" si="67"/>
        <v>0</v>
      </c>
      <c r="S110" s="156">
        <v>490000</v>
      </c>
      <c r="T110" s="160"/>
      <c r="U110" s="157">
        <f>+S110</f>
        <v>490000</v>
      </c>
      <c r="V110" s="161">
        <v>250000</v>
      </c>
      <c r="W110" s="158">
        <v>250000</v>
      </c>
      <c r="X110" s="160"/>
      <c r="Y110" s="160"/>
      <c r="Z110" s="160"/>
      <c r="AA110" s="160">
        <f>W110</f>
        <v>250000</v>
      </c>
      <c r="AB110" s="159"/>
      <c r="AC110" s="158">
        <f>V110-W110</f>
        <v>0</v>
      </c>
      <c r="AD110" s="160"/>
      <c r="AE110" s="160"/>
      <c r="AF110" s="157"/>
      <c r="AG110" s="157"/>
      <c r="AH110" s="159"/>
      <c r="AI110" s="35">
        <f t="shared" si="66"/>
        <v>0</v>
      </c>
      <c r="AJ110" s="11">
        <f t="shared" si="66"/>
        <v>0</v>
      </c>
      <c r="AK110" s="11">
        <f t="shared" si="66"/>
        <v>0</v>
      </c>
      <c r="AL110" s="11">
        <f t="shared" si="66"/>
        <v>250000</v>
      </c>
      <c r="AM110" s="76">
        <f t="shared" si="66"/>
        <v>0</v>
      </c>
      <c r="AN110" s="51">
        <f>SUM(AJ110:AM110)</f>
        <v>250000</v>
      </c>
      <c r="AO110" s="36"/>
      <c r="AP110" s="9"/>
      <c r="AQ110" s="9"/>
      <c r="AR110" s="9"/>
      <c r="AS110" s="9"/>
      <c r="AT110" s="9"/>
      <c r="AU110" s="9"/>
      <c r="AV110" s="9">
        <f>AU110+AT110+AS110+AR110</f>
        <v>0</v>
      </c>
      <c r="AW110" s="10">
        <f t="shared" si="51"/>
        <v>0</v>
      </c>
      <c r="AY110" s="11">
        <f t="shared" si="50"/>
        <v>0</v>
      </c>
    </row>
    <row r="111" spans="5:51" ht="60" customHeight="1" x14ac:dyDescent="0.2">
      <c r="E111" s="151">
        <f>+E110+1</f>
        <v>30105</v>
      </c>
      <c r="F111" s="170" t="s">
        <v>57</v>
      </c>
      <c r="G111" s="156">
        <v>850000</v>
      </c>
      <c r="H111" s="157">
        <v>850000</v>
      </c>
      <c r="I111" s="158">
        <v>650000</v>
      </c>
      <c r="J111" s="159">
        <v>650000</v>
      </c>
      <c r="K111" s="158">
        <v>650000</v>
      </c>
      <c r="L111" s="159">
        <f>162500+487500</f>
        <v>650000</v>
      </c>
      <c r="M111" s="158">
        <v>850000</v>
      </c>
      <c r="N111" s="159">
        <v>850000</v>
      </c>
      <c r="O111" s="158">
        <v>850000</v>
      </c>
      <c r="P111" s="159">
        <v>850000</v>
      </c>
      <c r="Q111" s="165">
        <f t="shared" si="67"/>
        <v>0</v>
      </c>
      <c r="R111" s="166">
        <f t="shared" si="67"/>
        <v>0</v>
      </c>
      <c r="S111" s="156">
        <v>700000</v>
      </c>
      <c r="T111" s="160"/>
      <c r="U111" s="157">
        <f>+S111</f>
        <v>700000</v>
      </c>
      <c r="V111" s="161">
        <v>850000</v>
      </c>
      <c r="W111" s="158">
        <v>850000</v>
      </c>
      <c r="X111" s="160"/>
      <c r="Y111" s="160"/>
      <c r="Z111" s="160"/>
      <c r="AA111" s="160">
        <f>W111</f>
        <v>850000</v>
      </c>
      <c r="AB111" s="159"/>
      <c r="AC111" s="158">
        <f>V111-W111</f>
        <v>0</v>
      </c>
      <c r="AD111" s="160"/>
      <c r="AE111" s="160"/>
      <c r="AF111" s="157"/>
      <c r="AG111" s="157"/>
      <c r="AH111" s="159"/>
      <c r="AI111" s="35">
        <f t="shared" si="66"/>
        <v>0</v>
      </c>
      <c r="AJ111" s="11">
        <f t="shared" si="66"/>
        <v>0</v>
      </c>
      <c r="AK111" s="11">
        <f t="shared" si="66"/>
        <v>0</v>
      </c>
      <c r="AL111" s="11">
        <f t="shared" si="66"/>
        <v>850000</v>
      </c>
      <c r="AM111" s="76">
        <f t="shared" si="66"/>
        <v>0</v>
      </c>
      <c r="AN111" s="51">
        <f>SUM(AJ111:AM111)</f>
        <v>850000</v>
      </c>
      <c r="AO111" s="36"/>
      <c r="AP111" s="9"/>
      <c r="AQ111" s="9"/>
      <c r="AR111" s="9"/>
      <c r="AS111" s="9"/>
      <c r="AT111" s="9"/>
      <c r="AU111" s="9"/>
      <c r="AV111" s="9">
        <f>AU111+AT111+AS111+AR111</f>
        <v>0</v>
      </c>
      <c r="AW111" s="10">
        <f t="shared" si="51"/>
        <v>0</v>
      </c>
      <c r="AY111" s="11">
        <f t="shared" si="50"/>
        <v>0</v>
      </c>
    </row>
    <row r="112" spans="5:51" ht="60" customHeight="1" x14ac:dyDescent="0.2">
      <c r="E112" s="149"/>
      <c r="F112" s="127" t="s">
        <v>58</v>
      </c>
      <c r="G112" s="118">
        <f t="shared" ref="G112:AW112" si="68">SUM(G107:G111)</f>
        <v>10050000</v>
      </c>
      <c r="H112" s="116">
        <f t="shared" si="68"/>
        <v>4250000</v>
      </c>
      <c r="I112" s="115">
        <f t="shared" si="68"/>
        <v>5200000</v>
      </c>
      <c r="J112" s="117">
        <f t="shared" si="68"/>
        <v>5200000</v>
      </c>
      <c r="K112" s="115">
        <f t="shared" si="68"/>
        <v>4469000</v>
      </c>
      <c r="L112" s="117">
        <f t="shared" si="68"/>
        <v>4369260</v>
      </c>
      <c r="M112" s="115">
        <f t="shared" si="68"/>
        <v>4725000</v>
      </c>
      <c r="N112" s="117">
        <f t="shared" si="68"/>
        <v>4725000</v>
      </c>
      <c r="O112" s="115">
        <f t="shared" si="68"/>
        <v>14950000</v>
      </c>
      <c r="P112" s="117">
        <f t="shared" si="68"/>
        <v>14950000</v>
      </c>
      <c r="Q112" s="115">
        <f t="shared" si="68"/>
        <v>10225000</v>
      </c>
      <c r="R112" s="117">
        <f t="shared" si="68"/>
        <v>10225000</v>
      </c>
      <c r="S112" s="118">
        <f t="shared" si="68"/>
        <v>3245000</v>
      </c>
      <c r="T112" s="118">
        <f t="shared" si="68"/>
        <v>0</v>
      </c>
      <c r="U112" s="118">
        <f t="shared" si="68"/>
        <v>3245000</v>
      </c>
      <c r="V112" s="119">
        <f t="shared" si="68"/>
        <v>8900000</v>
      </c>
      <c r="W112" s="115">
        <f t="shared" si="68"/>
        <v>8800000</v>
      </c>
      <c r="X112" s="120">
        <f t="shared" si="68"/>
        <v>0</v>
      </c>
      <c r="Y112" s="120">
        <f t="shared" si="68"/>
        <v>0</v>
      </c>
      <c r="Z112" s="120">
        <f t="shared" si="68"/>
        <v>0</v>
      </c>
      <c r="AA112" s="120">
        <f t="shared" si="68"/>
        <v>5050000</v>
      </c>
      <c r="AB112" s="117">
        <f t="shared" si="68"/>
        <v>3750000</v>
      </c>
      <c r="AC112" s="115">
        <f t="shared" si="68"/>
        <v>100000</v>
      </c>
      <c r="AD112" s="120">
        <f t="shared" si="68"/>
        <v>0</v>
      </c>
      <c r="AE112" s="120">
        <f t="shared" si="68"/>
        <v>0</v>
      </c>
      <c r="AF112" s="116">
        <f t="shared" si="68"/>
        <v>0</v>
      </c>
      <c r="AG112" s="116">
        <f t="shared" si="68"/>
        <v>100000</v>
      </c>
      <c r="AH112" s="117">
        <f t="shared" si="68"/>
        <v>0</v>
      </c>
      <c r="AI112" s="47">
        <f t="shared" si="68"/>
        <v>0</v>
      </c>
      <c r="AJ112" s="10">
        <f t="shared" si="68"/>
        <v>0</v>
      </c>
      <c r="AK112" s="10">
        <f t="shared" si="68"/>
        <v>0</v>
      </c>
      <c r="AL112" s="10">
        <f t="shared" si="68"/>
        <v>5150000</v>
      </c>
      <c r="AM112" s="48">
        <f t="shared" si="68"/>
        <v>3750000</v>
      </c>
      <c r="AN112" s="52">
        <f t="shared" si="68"/>
        <v>8900000</v>
      </c>
      <c r="AO112" s="39">
        <f t="shared" si="68"/>
        <v>0</v>
      </c>
      <c r="AP112" s="10">
        <f t="shared" si="68"/>
        <v>0</v>
      </c>
      <c r="AQ112" s="10">
        <f t="shared" si="68"/>
        <v>0</v>
      </c>
      <c r="AR112" s="10">
        <f t="shared" si="68"/>
        <v>0</v>
      </c>
      <c r="AS112" s="10">
        <f t="shared" si="68"/>
        <v>0</v>
      </c>
      <c r="AT112" s="10">
        <f t="shared" si="68"/>
        <v>0</v>
      </c>
      <c r="AU112" s="10">
        <f t="shared" si="68"/>
        <v>0</v>
      </c>
      <c r="AV112" s="10">
        <f t="shared" si="68"/>
        <v>0</v>
      </c>
      <c r="AW112" s="10">
        <f t="shared" si="68"/>
        <v>0</v>
      </c>
      <c r="AY112" s="11">
        <f t="shared" si="50"/>
        <v>0</v>
      </c>
    </row>
    <row r="113" spans="5:51" ht="60" customHeight="1" x14ac:dyDescent="0.2">
      <c r="E113" s="151">
        <v>30200</v>
      </c>
      <c r="F113" s="155" t="s">
        <v>19</v>
      </c>
      <c r="G113" s="156"/>
      <c r="H113" s="157"/>
      <c r="I113" s="158"/>
      <c r="J113" s="159"/>
      <c r="K113" s="158"/>
      <c r="L113" s="159"/>
      <c r="M113" s="158"/>
      <c r="N113" s="159"/>
      <c r="O113" s="158"/>
      <c r="P113" s="159"/>
      <c r="Q113" s="158"/>
      <c r="R113" s="159"/>
      <c r="S113" s="156"/>
      <c r="T113" s="160"/>
      <c r="U113" s="157"/>
      <c r="V113" s="161"/>
      <c r="W113" s="158"/>
      <c r="X113" s="160"/>
      <c r="Y113" s="160"/>
      <c r="Z113" s="160"/>
      <c r="AA113" s="160"/>
      <c r="AB113" s="159"/>
      <c r="AC113" s="158"/>
      <c r="AD113" s="160"/>
      <c r="AE113" s="160"/>
      <c r="AF113" s="157"/>
      <c r="AG113" s="157"/>
      <c r="AH113" s="159"/>
      <c r="AI113" s="45"/>
      <c r="AJ113" s="9"/>
      <c r="AK113" s="9"/>
      <c r="AL113" s="9"/>
      <c r="AM113" s="46"/>
      <c r="AN113" s="50"/>
      <c r="AO113" s="36"/>
      <c r="AP113" s="9"/>
      <c r="AQ113" s="9"/>
      <c r="AR113" s="9"/>
      <c r="AS113" s="9"/>
      <c r="AT113" s="9"/>
      <c r="AU113" s="9"/>
      <c r="AV113" s="9"/>
      <c r="AW113" s="10">
        <f t="shared" si="51"/>
        <v>0</v>
      </c>
      <c r="AY113" s="11">
        <f t="shared" si="50"/>
        <v>0</v>
      </c>
    </row>
    <row r="114" spans="5:51" ht="60" customHeight="1" x14ac:dyDescent="0.2">
      <c r="E114" s="151">
        <f>E113+1</f>
        <v>30201</v>
      </c>
      <c r="F114" s="170" t="s">
        <v>59</v>
      </c>
      <c r="G114" s="156">
        <v>1150000</v>
      </c>
      <c r="H114" s="157">
        <v>1141000</v>
      </c>
      <c r="I114" s="158">
        <v>1000000</v>
      </c>
      <c r="J114" s="159">
        <f>I114</f>
        <v>1000000</v>
      </c>
      <c r="K114" s="158">
        <v>1074000</v>
      </c>
      <c r="L114" s="159">
        <v>1074000</v>
      </c>
      <c r="M114" s="158">
        <v>1650000</v>
      </c>
      <c r="N114" s="159">
        <v>1650000</v>
      </c>
      <c r="O114" s="158">
        <v>1500000</v>
      </c>
      <c r="P114" s="159">
        <v>1500000</v>
      </c>
      <c r="Q114" s="165">
        <f>O114-M114</f>
        <v>-150000</v>
      </c>
      <c r="R114" s="166">
        <f>P114-N114</f>
        <v>-150000</v>
      </c>
      <c r="S114" s="156">
        <v>625000</v>
      </c>
      <c r="T114" s="160"/>
      <c r="U114" s="157">
        <f>+S114</f>
        <v>625000</v>
      </c>
      <c r="V114" s="161">
        <v>1500000</v>
      </c>
      <c r="W114" s="158">
        <v>1000000</v>
      </c>
      <c r="X114" s="160"/>
      <c r="Y114" s="160"/>
      <c r="Z114" s="160"/>
      <c r="AA114" s="160"/>
      <c r="AB114" s="159">
        <f>W114</f>
        <v>1000000</v>
      </c>
      <c r="AC114" s="158">
        <f t="shared" ref="AC114:AC126" si="69">V114-W114</f>
        <v>500000</v>
      </c>
      <c r="AD114" s="160"/>
      <c r="AE114" s="160"/>
      <c r="AF114" s="157"/>
      <c r="AG114" s="157"/>
      <c r="AH114" s="159">
        <f>AC114</f>
        <v>500000</v>
      </c>
      <c r="AI114" s="35">
        <f t="shared" ref="AI114:AI126" si="70">AD114+X114</f>
        <v>0</v>
      </c>
      <c r="AJ114" s="11">
        <f t="shared" ref="AJ114:AJ126" si="71">AE114+Y114</f>
        <v>0</v>
      </c>
      <c r="AK114" s="11">
        <f t="shared" ref="AK114:AK126" si="72">AF114+Z114</f>
        <v>0</v>
      </c>
      <c r="AL114" s="11">
        <f t="shared" ref="AL114:AL126" si="73">AG114+AA114</f>
        <v>0</v>
      </c>
      <c r="AM114" s="76">
        <f t="shared" ref="AM114:AM126" si="74">AH114+AB114</f>
        <v>1500000</v>
      </c>
      <c r="AN114" s="51">
        <f t="shared" ref="AN114:AN126" si="75">SUM(AJ114:AM114)</f>
        <v>1500000</v>
      </c>
      <c r="AO114" s="36"/>
      <c r="AP114" s="9"/>
      <c r="AQ114" s="9"/>
      <c r="AR114" s="9"/>
      <c r="AS114" s="9"/>
      <c r="AT114" s="9"/>
      <c r="AU114" s="9"/>
      <c r="AV114" s="9">
        <f t="shared" ref="AV114:AV125" si="76">AU114+AT114+AS114+AR114</f>
        <v>0</v>
      </c>
      <c r="AW114" s="10">
        <f t="shared" si="51"/>
        <v>0</v>
      </c>
      <c r="AY114" s="11">
        <f t="shared" si="50"/>
        <v>0</v>
      </c>
    </row>
    <row r="115" spans="5:51" ht="60" customHeight="1" x14ac:dyDescent="0.2">
      <c r="E115" s="151">
        <f t="shared" ref="E115:E126" si="77">E114+1</f>
        <v>30202</v>
      </c>
      <c r="F115" s="170" t="s">
        <v>364</v>
      </c>
      <c r="G115" s="156">
        <v>2000000</v>
      </c>
      <c r="H115" s="157"/>
      <c r="I115" s="158">
        <v>1300000</v>
      </c>
      <c r="J115" s="159"/>
      <c r="K115" s="158">
        <v>2500000</v>
      </c>
      <c r="L115" s="159">
        <v>1300000</v>
      </c>
      <c r="M115" s="158">
        <v>1500000</v>
      </c>
      <c r="N115" s="159"/>
      <c r="O115" s="158">
        <v>1300000</v>
      </c>
      <c r="P115" s="159">
        <v>1300000</v>
      </c>
      <c r="Q115" s="165">
        <f t="shared" ref="Q115:R126" si="78">O115-M115</f>
        <v>-200000</v>
      </c>
      <c r="R115" s="166">
        <f t="shared" si="78"/>
        <v>1300000</v>
      </c>
      <c r="S115" s="156">
        <v>600000</v>
      </c>
      <c r="T115" s="160"/>
      <c r="U115" s="157">
        <f>+S115</f>
        <v>600000</v>
      </c>
      <c r="V115" s="161">
        <v>300000</v>
      </c>
      <c r="W115" s="158">
        <v>0</v>
      </c>
      <c r="X115" s="160"/>
      <c r="Y115" s="160"/>
      <c r="Z115" s="160">
        <f>W115</f>
        <v>0</v>
      </c>
      <c r="AA115" s="160"/>
      <c r="AB115" s="159"/>
      <c r="AC115" s="158">
        <f t="shared" si="69"/>
        <v>300000</v>
      </c>
      <c r="AD115" s="160"/>
      <c r="AE115" s="160"/>
      <c r="AF115" s="157"/>
      <c r="AG115" s="157"/>
      <c r="AH115" s="159">
        <f>V115-Z115</f>
        <v>300000</v>
      </c>
      <c r="AI115" s="35">
        <f t="shared" si="70"/>
        <v>0</v>
      </c>
      <c r="AJ115" s="11">
        <f t="shared" si="71"/>
        <v>0</v>
      </c>
      <c r="AK115" s="11">
        <f t="shared" si="72"/>
        <v>0</v>
      </c>
      <c r="AL115" s="11">
        <f t="shared" si="73"/>
        <v>0</v>
      </c>
      <c r="AM115" s="76">
        <f t="shared" si="74"/>
        <v>300000</v>
      </c>
      <c r="AN115" s="51">
        <f t="shared" si="75"/>
        <v>300000</v>
      </c>
      <c r="AO115" s="36"/>
      <c r="AP115" s="9"/>
      <c r="AQ115" s="9"/>
      <c r="AR115" s="9"/>
      <c r="AS115" s="9"/>
      <c r="AT115" s="9"/>
      <c r="AU115" s="9"/>
      <c r="AV115" s="9">
        <f t="shared" si="76"/>
        <v>0</v>
      </c>
      <c r="AW115" s="10">
        <f t="shared" si="51"/>
        <v>0</v>
      </c>
      <c r="AY115" s="11">
        <f t="shared" si="50"/>
        <v>0</v>
      </c>
    </row>
    <row r="116" spans="5:51" ht="60" customHeight="1" x14ac:dyDescent="0.2">
      <c r="E116" s="151">
        <f t="shared" si="77"/>
        <v>30203</v>
      </c>
      <c r="F116" s="170" t="s">
        <v>514</v>
      </c>
      <c r="G116" s="156"/>
      <c r="H116" s="157"/>
      <c r="I116" s="158"/>
      <c r="J116" s="159"/>
      <c r="K116" s="158"/>
      <c r="L116" s="159"/>
      <c r="M116" s="158"/>
      <c r="N116" s="159"/>
      <c r="O116" s="158"/>
      <c r="P116" s="159"/>
      <c r="Q116" s="165"/>
      <c r="R116" s="166"/>
      <c r="S116" s="156"/>
      <c r="T116" s="160"/>
      <c r="U116" s="157"/>
      <c r="V116" s="161">
        <v>300000</v>
      </c>
      <c r="W116" s="158">
        <v>300000</v>
      </c>
      <c r="X116" s="160"/>
      <c r="Y116" s="160"/>
      <c r="Z116" s="160"/>
      <c r="AA116" s="160"/>
      <c r="AB116" s="159">
        <f>W116</f>
        <v>300000</v>
      </c>
      <c r="AC116" s="158">
        <f t="shared" si="69"/>
        <v>0</v>
      </c>
      <c r="AD116" s="160"/>
      <c r="AE116" s="160"/>
      <c r="AF116" s="157"/>
      <c r="AG116" s="157"/>
      <c r="AH116" s="159"/>
      <c r="AI116" s="35">
        <f t="shared" si="70"/>
        <v>0</v>
      </c>
      <c r="AJ116" s="11">
        <f t="shared" si="71"/>
        <v>0</v>
      </c>
      <c r="AK116" s="11">
        <f t="shared" si="72"/>
        <v>0</v>
      </c>
      <c r="AL116" s="11">
        <f t="shared" si="73"/>
        <v>0</v>
      </c>
      <c r="AM116" s="76">
        <f t="shared" si="74"/>
        <v>300000</v>
      </c>
      <c r="AN116" s="51">
        <f t="shared" si="75"/>
        <v>300000</v>
      </c>
      <c r="AO116" s="36"/>
      <c r="AP116" s="9"/>
      <c r="AQ116" s="9"/>
      <c r="AR116" s="9"/>
      <c r="AS116" s="9"/>
      <c r="AT116" s="9"/>
      <c r="AU116" s="9"/>
      <c r="AV116" s="9"/>
      <c r="AW116" s="10"/>
      <c r="AY116" s="11"/>
    </row>
    <row r="117" spans="5:51" ht="60" customHeight="1" x14ac:dyDescent="0.2">
      <c r="E117" s="151">
        <f t="shared" si="77"/>
        <v>30204</v>
      </c>
      <c r="F117" s="170" t="s">
        <v>530</v>
      </c>
      <c r="G117" s="156">
        <v>170000</v>
      </c>
      <c r="H117" s="157">
        <v>170000</v>
      </c>
      <c r="I117" s="158">
        <v>170000</v>
      </c>
      <c r="J117" s="159">
        <f>I117</f>
        <v>170000</v>
      </c>
      <c r="K117" s="158">
        <v>170000</v>
      </c>
      <c r="L117" s="159">
        <v>170000</v>
      </c>
      <c r="M117" s="158">
        <v>170000</v>
      </c>
      <c r="N117" s="159">
        <v>170000</v>
      </c>
      <c r="O117" s="158">
        <v>170000</v>
      </c>
      <c r="P117" s="159"/>
      <c r="Q117" s="165">
        <f t="shared" si="78"/>
        <v>0</v>
      </c>
      <c r="R117" s="166">
        <f t="shared" si="78"/>
        <v>-170000</v>
      </c>
      <c r="S117" s="156">
        <v>120000</v>
      </c>
      <c r="T117" s="160"/>
      <c r="U117" s="157">
        <f>+S117</f>
        <v>120000</v>
      </c>
      <c r="V117" s="161">
        <v>170000</v>
      </c>
      <c r="W117" s="158">
        <v>170000</v>
      </c>
      <c r="X117" s="160"/>
      <c r="Y117" s="160"/>
      <c r="Z117" s="160"/>
      <c r="AA117" s="160">
        <f>W117</f>
        <v>170000</v>
      </c>
      <c r="AB117" s="159"/>
      <c r="AC117" s="158">
        <f t="shared" si="69"/>
        <v>0</v>
      </c>
      <c r="AD117" s="160"/>
      <c r="AE117" s="160"/>
      <c r="AF117" s="157"/>
      <c r="AG117" s="157"/>
      <c r="AH117" s="159"/>
      <c r="AI117" s="35">
        <f t="shared" si="70"/>
        <v>0</v>
      </c>
      <c r="AJ117" s="11">
        <f t="shared" si="71"/>
        <v>0</v>
      </c>
      <c r="AK117" s="11">
        <f t="shared" si="72"/>
        <v>0</v>
      </c>
      <c r="AL117" s="11">
        <f t="shared" si="73"/>
        <v>170000</v>
      </c>
      <c r="AM117" s="76">
        <f t="shared" si="74"/>
        <v>0</v>
      </c>
      <c r="AN117" s="51">
        <f t="shared" si="75"/>
        <v>170000</v>
      </c>
      <c r="AO117" s="36"/>
      <c r="AP117" s="9"/>
      <c r="AQ117" s="9"/>
      <c r="AR117" s="9"/>
      <c r="AS117" s="9"/>
      <c r="AT117" s="9"/>
      <c r="AU117" s="9"/>
      <c r="AV117" s="9">
        <f t="shared" si="76"/>
        <v>0</v>
      </c>
      <c r="AW117" s="10">
        <f t="shared" si="51"/>
        <v>0</v>
      </c>
      <c r="AY117" s="11">
        <f t="shared" ref="AY117:AY143" si="79">V117-W117-AC117</f>
        <v>0</v>
      </c>
    </row>
    <row r="118" spans="5:51" ht="60" customHeight="1" x14ac:dyDescent="0.2">
      <c r="E118" s="151">
        <f t="shared" si="77"/>
        <v>30205</v>
      </c>
      <c r="F118" s="170" t="s">
        <v>60</v>
      </c>
      <c r="G118" s="156">
        <v>100000</v>
      </c>
      <c r="H118" s="157">
        <f>G118</f>
        <v>100000</v>
      </c>
      <c r="I118" s="158">
        <v>300000</v>
      </c>
      <c r="J118" s="159">
        <f>I118</f>
        <v>300000</v>
      </c>
      <c r="K118" s="158">
        <v>300000</v>
      </c>
      <c r="L118" s="159">
        <v>300000</v>
      </c>
      <c r="M118" s="158">
        <v>300000</v>
      </c>
      <c r="N118" s="159">
        <v>150000</v>
      </c>
      <c r="O118" s="158">
        <v>300000</v>
      </c>
      <c r="P118" s="159">
        <v>200000</v>
      </c>
      <c r="Q118" s="165">
        <f t="shared" si="78"/>
        <v>0</v>
      </c>
      <c r="R118" s="166">
        <f t="shared" si="78"/>
        <v>50000</v>
      </c>
      <c r="S118" s="156">
        <v>70000</v>
      </c>
      <c r="T118" s="160"/>
      <c r="U118" s="157">
        <f>+S118</f>
        <v>70000</v>
      </c>
      <c r="V118" s="161">
        <v>150000</v>
      </c>
      <c r="W118" s="158">
        <v>100000</v>
      </c>
      <c r="X118" s="160"/>
      <c r="Y118" s="160"/>
      <c r="Z118" s="160"/>
      <c r="AA118" s="160">
        <f>W118</f>
        <v>100000</v>
      </c>
      <c r="AB118" s="159"/>
      <c r="AC118" s="158">
        <f t="shared" si="69"/>
        <v>50000</v>
      </c>
      <c r="AD118" s="160"/>
      <c r="AE118" s="160"/>
      <c r="AF118" s="157"/>
      <c r="AG118" s="157">
        <f>AC118</f>
        <v>50000</v>
      </c>
      <c r="AH118" s="159"/>
      <c r="AI118" s="35">
        <f t="shared" si="70"/>
        <v>0</v>
      </c>
      <c r="AJ118" s="11">
        <f t="shared" si="71"/>
        <v>0</v>
      </c>
      <c r="AK118" s="11">
        <f t="shared" si="72"/>
        <v>0</v>
      </c>
      <c r="AL118" s="11">
        <f t="shared" si="73"/>
        <v>150000</v>
      </c>
      <c r="AM118" s="76">
        <f t="shared" si="74"/>
        <v>0</v>
      </c>
      <c r="AN118" s="51">
        <f t="shared" si="75"/>
        <v>150000</v>
      </c>
      <c r="AO118" s="36"/>
      <c r="AP118" s="9"/>
      <c r="AQ118" s="9"/>
      <c r="AR118" s="9"/>
      <c r="AS118" s="9"/>
      <c r="AT118" s="9"/>
      <c r="AU118" s="9"/>
      <c r="AV118" s="9">
        <f t="shared" si="76"/>
        <v>0</v>
      </c>
      <c r="AW118" s="10">
        <f t="shared" si="51"/>
        <v>0</v>
      </c>
      <c r="AY118" s="11">
        <f t="shared" si="79"/>
        <v>0</v>
      </c>
    </row>
    <row r="119" spans="5:51" ht="60" customHeight="1" x14ac:dyDescent="0.2">
      <c r="E119" s="151">
        <f t="shared" si="77"/>
        <v>30206</v>
      </c>
      <c r="F119" s="170" t="s">
        <v>61</v>
      </c>
      <c r="G119" s="156">
        <v>700000</v>
      </c>
      <c r="H119" s="157">
        <v>700000</v>
      </c>
      <c r="I119" s="158">
        <v>1200000</v>
      </c>
      <c r="J119" s="159">
        <v>1200000</v>
      </c>
      <c r="K119" s="158">
        <v>500000</v>
      </c>
      <c r="L119" s="159">
        <v>500000</v>
      </c>
      <c r="M119" s="158">
        <v>500000</v>
      </c>
      <c r="N119" s="159">
        <v>500000</v>
      </c>
      <c r="O119" s="158">
        <v>500000</v>
      </c>
      <c r="P119" s="159">
        <v>500000</v>
      </c>
      <c r="Q119" s="165">
        <f t="shared" si="78"/>
        <v>0</v>
      </c>
      <c r="R119" s="166">
        <f t="shared" si="78"/>
        <v>0</v>
      </c>
      <c r="S119" s="156">
        <v>450000</v>
      </c>
      <c r="T119" s="160"/>
      <c r="U119" s="157">
        <f>+S119</f>
        <v>450000</v>
      </c>
      <c r="V119" s="161">
        <v>1000000</v>
      </c>
      <c r="W119" s="158">
        <v>500000</v>
      </c>
      <c r="X119" s="160"/>
      <c r="Y119" s="160"/>
      <c r="Z119" s="160"/>
      <c r="AA119" s="160"/>
      <c r="AB119" s="159">
        <f>W119</f>
        <v>500000</v>
      </c>
      <c r="AC119" s="158">
        <f t="shared" si="69"/>
        <v>500000</v>
      </c>
      <c r="AD119" s="160"/>
      <c r="AE119" s="160"/>
      <c r="AF119" s="157"/>
      <c r="AG119" s="157"/>
      <c r="AH119" s="159">
        <f>AC119</f>
        <v>500000</v>
      </c>
      <c r="AI119" s="35">
        <f t="shared" si="70"/>
        <v>0</v>
      </c>
      <c r="AJ119" s="11">
        <f t="shared" si="71"/>
        <v>0</v>
      </c>
      <c r="AK119" s="11">
        <f t="shared" si="72"/>
        <v>0</v>
      </c>
      <c r="AL119" s="11">
        <f t="shared" si="73"/>
        <v>0</v>
      </c>
      <c r="AM119" s="76">
        <f t="shared" si="74"/>
        <v>1000000</v>
      </c>
      <c r="AN119" s="51">
        <f t="shared" si="75"/>
        <v>1000000</v>
      </c>
      <c r="AO119" s="36"/>
      <c r="AP119" s="9"/>
      <c r="AQ119" s="9"/>
      <c r="AR119" s="9"/>
      <c r="AS119" s="9"/>
      <c r="AT119" s="9"/>
      <c r="AU119" s="9"/>
      <c r="AV119" s="9">
        <f t="shared" si="76"/>
        <v>0</v>
      </c>
      <c r="AW119" s="10">
        <f t="shared" si="51"/>
        <v>0</v>
      </c>
      <c r="AY119" s="11">
        <f t="shared" si="79"/>
        <v>0</v>
      </c>
    </row>
    <row r="120" spans="5:51" ht="60" customHeight="1" x14ac:dyDescent="0.2">
      <c r="E120" s="151">
        <f t="shared" si="77"/>
        <v>30207</v>
      </c>
      <c r="F120" s="170" t="s">
        <v>62</v>
      </c>
      <c r="G120" s="156">
        <v>725000</v>
      </c>
      <c r="H120" s="157">
        <v>725000</v>
      </c>
      <c r="I120" s="158">
        <v>3000000</v>
      </c>
      <c r="J120" s="159">
        <v>2000000</v>
      </c>
      <c r="K120" s="158">
        <f>750000+640000</f>
        <v>1390000</v>
      </c>
      <c r="L120" s="159">
        <f>200000+70000+250000+500000+370000</f>
        <v>1390000</v>
      </c>
      <c r="M120" s="158">
        <v>2460000</v>
      </c>
      <c r="N120" s="159">
        <v>2320000</v>
      </c>
      <c r="O120" s="158">
        <v>4000000</v>
      </c>
      <c r="P120" s="159">
        <v>4000000</v>
      </c>
      <c r="Q120" s="165">
        <f t="shared" si="78"/>
        <v>1540000</v>
      </c>
      <c r="R120" s="166">
        <f t="shared" si="78"/>
        <v>1680000</v>
      </c>
      <c r="S120" s="156">
        <v>1500000</v>
      </c>
      <c r="T120" s="160"/>
      <c r="U120" s="157">
        <f>+S120</f>
        <v>1500000</v>
      </c>
      <c r="V120" s="161">
        <v>1500000</v>
      </c>
      <c r="W120" s="158">
        <v>1500000</v>
      </c>
      <c r="X120" s="160"/>
      <c r="Y120" s="160"/>
      <c r="Z120" s="160"/>
      <c r="AA120" s="160"/>
      <c r="AB120" s="159">
        <f>W120</f>
        <v>1500000</v>
      </c>
      <c r="AC120" s="158">
        <f t="shared" si="69"/>
        <v>0</v>
      </c>
      <c r="AD120" s="160"/>
      <c r="AE120" s="160"/>
      <c r="AF120" s="157"/>
      <c r="AG120" s="157"/>
      <c r="AH120" s="159"/>
      <c r="AI120" s="35">
        <f t="shared" si="70"/>
        <v>0</v>
      </c>
      <c r="AJ120" s="11">
        <f t="shared" si="71"/>
        <v>0</v>
      </c>
      <c r="AK120" s="11">
        <f t="shared" si="72"/>
        <v>0</v>
      </c>
      <c r="AL120" s="11">
        <f t="shared" si="73"/>
        <v>0</v>
      </c>
      <c r="AM120" s="76">
        <f t="shared" si="74"/>
        <v>1500000</v>
      </c>
      <c r="AN120" s="51">
        <f t="shared" si="75"/>
        <v>1500000</v>
      </c>
      <c r="AO120" s="36"/>
      <c r="AP120" s="9"/>
      <c r="AQ120" s="9"/>
      <c r="AR120" s="9"/>
      <c r="AS120" s="9"/>
      <c r="AT120" s="9"/>
      <c r="AU120" s="9"/>
      <c r="AV120" s="9">
        <f t="shared" si="76"/>
        <v>0</v>
      </c>
      <c r="AW120" s="10">
        <f t="shared" si="51"/>
        <v>0</v>
      </c>
      <c r="AY120" s="11">
        <f t="shared" si="79"/>
        <v>0</v>
      </c>
    </row>
    <row r="121" spans="5:51" ht="60" customHeight="1" x14ac:dyDescent="0.2">
      <c r="E121" s="151">
        <f t="shared" si="77"/>
        <v>30208</v>
      </c>
      <c r="F121" s="170" t="s">
        <v>362</v>
      </c>
      <c r="G121" s="156"/>
      <c r="H121" s="157"/>
      <c r="I121" s="158"/>
      <c r="J121" s="159"/>
      <c r="K121" s="158"/>
      <c r="L121" s="159"/>
      <c r="M121" s="158"/>
      <c r="N121" s="159"/>
      <c r="O121" s="158">
        <v>1200000</v>
      </c>
      <c r="P121" s="159"/>
      <c r="Q121" s="165">
        <f t="shared" si="78"/>
        <v>1200000</v>
      </c>
      <c r="R121" s="166">
        <f t="shared" si="78"/>
        <v>0</v>
      </c>
      <c r="S121" s="156"/>
      <c r="T121" s="160"/>
      <c r="U121" s="157"/>
      <c r="V121" s="161">
        <v>1200000</v>
      </c>
      <c r="W121" s="158">
        <v>1200000</v>
      </c>
      <c r="X121" s="160">
        <v>800000</v>
      </c>
      <c r="Y121" s="160">
        <f>W121-X121</f>
        <v>400000</v>
      </c>
      <c r="Z121" s="160"/>
      <c r="AA121" s="160"/>
      <c r="AB121" s="159"/>
      <c r="AC121" s="158">
        <f t="shared" si="69"/>
        <v>0</v>
      </c>
      <c r="AD121" s="160"/>
      <c r="AE121" s="160"/>
      <c r="AF121" s="157"/>
      <c r="AG121" s="157"/>
      <c r="AH121" s="159"/>
      <c r="AI121" s="35">
        <f t="shared" si="70"/>
        <v>800000</v>
      </c>
      <c r="AJ121" s="11">
        <f t="shared" si="71"/>
        <v>400000</v>
      </c>
      <c r="AK121" s="11">
        <f t="shared" si="72"/>
        <v>0</v>
      </c>
      <c r="AL121" s="11">
        <f t="shared" si="73"/>
        <v>0</v>
      </c>
      <c r="AM121" s="76">
        <f t="shared" si="74"/>
        <v>0</v>
      </c>
      <c r="AN121" s="51">
        <f t="shared" si="75"/>
        <v>400000</v>
      </c>
      <c r="AO121" s="36"/>
      <c r="AP121" s="9"/>
      <c r="AQ121" s="9"/>
      <c r="AR121" s="9"/>
      <c r="AS121" s="9"/>
      <c r="AT121" s="9"/>
      <c r="AU121" s="9"/>
      <c r="AV121" s="9"/>
      <c r="AW121" s="10"/>
      <c r="AY121" s="11">
        <f t="shared" si="79"/>
        <v>0</v>
      </c>
    </row>
    <row r="122" spans="5:51" ht="60" customHeight="1" x14ac:dyDescent="0.2">
      <c r="E122" s="151">
        <f t="shared" si="77"/>
        <v>30209</v>
      </c>
      <c r="F122" s="170" t="s">
        <v>63</v>
      </c>
      <c r="G122" s="156">
        <v>800000</v>
      </c>
      <c r="H122" s="157">
        <v>500000</v>
      </c>
      <c r="I122" s="158">
        <v>450000</v>
      </c>
      <c r="J122" s="159"/>
      <c r="K122" s="158">
        <v>450000</v>
      </c>
      <c r="L122" s="159">
        <f>100000+14500+25000</f>
        <v>139500</v>
      </c>
      <c r="M122" s="158">
        <v>450000</v>
      </c>
      <c r="N122" s="159">
        <v>450000</v>
      </c>
      <c r="O122" s="158">
        <v>450000</v>
      </c>
      <c r="P122" s="159"/>
      <c r="Q122" s="165">
        <f t="shared" si="78"/>
        <v>0</v>
      </c>
      <c r="R122" s="166">
        <f t="shared" si="78"/>
        <v>-450000</v>
      </c>
      <c r="S122" s="156">
        <v>300000</v>
      </c>
      <c r="T122" s="160"/>
      <c r="U122" s="157">
        <f>+S122</f>
        <v>300000</v>
      </c>
      <c r="V122" s="161">
        <v>450000</v>
      </c>
      <c r="W122" s="158">
        <v>0</v>
      </c>
      <c r="X122" s="160"/>
      <c r="Y122" s="160">
        <f>W122</f>
        <v>0</v>
      </c>
      <c r="Z122" s="160"/>
      <c r="AA122" s="160"/>
      <c r="AB122" s="159"/>
      <c r="AC122" s="158">
        <f t="shared" si="69"/>
        <v>450000</v>
      </c>
      <c r="AD122" s="160"/>
      <c r="AE122" s="160"/>
      <c r="AF122" s="157"/>
      <c r="AG122" s="157">
        <f>AC122</f>
        <v>450000</v>
      </c>
      <c r="AH122" s="159"/>
      <c r="AI122" s="35">
        <f t="shared" si="70"/>
        <v>0</v>
      </c>
      <c r="AJ122" s="11">
        <f t="shared" si="71"/>
        <v>0</v>
      </c>
      <c r="AK122" s="11">
        <f t="shared" si="72"/>
        <v>0</v>
      </c>
      <c r="AL122" s="11">
        <f t="shared" si="73"/>
        <v>450000</v>
      </c>
      <c r="AM122" s="76">
        <f t="shared" si="74"/>
        <v>0</v>
      </c>
      <c r="AN122" s="51">
        <f t="shared" si="75"/>
        <v>450000</v>
      </c>
      <c r="AO122" s="36"/>
      <c r="AP122" s="9"/>
      <c r="AQ122" s="9"/>
      <c r="AR122" s="9"/>
      <c r="AS122" s="9"/>
      <c r="AT122" s="9"/>
      <c r="AU122" s="9"/>
      <c r="AV122" s="9">
        <f t="shared" si="76"/>
        <v>0</v>
      </c>
      <c r="AW122" s="10">
        <f t="shared" si="51"/>
        <v>0</v>
      </c>
      <c r="AY122" s="11">
        <f t="shared" si="79"/>
        <v>0</v>
      </c>
    </row>
    <row r="123" spans="5:51" ht="60" customHeight="1" x14ac:dyDescent="0.2">
      <c r="E123" s="151">
        <f t="shared" si="77"/>
        <v>30210</v>
      </c>
      <c r="F123" s="170" t="s">
        <v>271</v>
      </c>
      <c r="G123" s="156"/>
      <c r="H123" s="157"/>
      <c r="I123" s="158">
        <v>2000000</v>
      </c>
      <c r="J123" s="159">
        <f>I123</f>
        <v>2000000</v>
      </c>
      <c r="K123" s="158">
        <v>716000</v>
      </c>
      <c r="L123" s="159">
        <v>716000</v>
      </c>
      <c r="M123" s="158">
        <v>700000</v>
      </c>
      <c r="N123" s="159">
        <v>700000</v>
      </c>
      <c r="O123" s="158">
        <v>1750000</v>
      </c>
      <c r="P123" s="159">
        <v>1750000</v>
      </c>
      <c r="Q123" s="165">
        <f t="shared" si="78"/>
        <v>1050000</v>
      </c>
      <c r="R123" s="166">
        <f t="shared" si="78"/>
        <v>1050000</v>
      </c>
      <c r="S123" s="156">
        <v>200000</v>
      </c>
      <c r="T123" s="160"/>
      <c r="U123" s="157">
        <f>+S123</f>
        <v>200000</v>
      </c>
      <c r="V123" s="161">
        <v>1000000</v>
      </c>
      <c r="W123" s="158">
        <v>1000000</v>
      </c>
      <c r="X123" s="160"/>
      <c r="Y123" s="160"/>
      <c r="Z123" s="160"/>
      <c r="AA123" s="160"/>
      <c r="AB123" s="159">
        <f>W123</f>
        <v>1000000</v>
      </c>
      <c r="AC123" s="158">
        <f t="shared" si="69"/>
        <v>0</v>
      </c>
      <c r="AD123" s="160"/>
      <c r="AE123" s="160"/>
      <c r="AF123" s="157"/>
      <c r="AG123" s="157"/>
      <c r="AH123" s="159"/>
      <c r="AI123" s="35">
        <f t="shared" si="70"/>
        <v>0</v>
      </c>
      <c r="AJ123" s="11">
        <f t="shared" si="71"/>
        <v>0</v>
      </c>
      <c r="AK123" s="11">
        <f t="shared" si="72"/>
        <v>0</v>
      </c>
      <c r="AL123" s="11">
        <f t="shared" si="73"/>
        <v>0</v>
      </c>
      <c r="AM123" s="76">
        <f t="shared" si="74"/>
        <v>1000000</v>
      </c>
      <c r="AN123" s="51">
        <f t="shared" si="75"/>
        <v>1000000</v>
      </c>
      <c r="AO123" s="36"/>
      <c r="AP123" s="9"/>
      <c r="AQ123" s="9"/>
      <c r="AR123" s="9"/>
      <c r="AS123" s="9"/>
      <c r="AT123" s="9"/>
      <c r="AU123" s="9"/>
      <c r="AV123" s="9">
        <f t="shared" si="76"/>
        <v>0</v>
      </c>
      <c r="AW123" s="10">
        <f t="shared" si="51"/>
        <v>0</v>
      </c>
      <c r="AY123" s="11">
        <f t="shared" si="79"/>
        <v>0</v>
      </c>
    </row>
    <row r="124" spans="5:51" ht="60" customHeight="1" x14ac:dyDescent="0.2">
      <c r="E124" s="151">
        <f t="shared" si="77"/>
        <v>30211</v>
      </c>
      <c r="F124" s="170" t="s">
        <v>360</v>
      </c>
      <c r="G124" s="156"/>
      <c r="H124" s="157"/>
      <c r="I124" s="158"/>
      <c r="J124" s="159"/>
      <c r="K124" s="158">
        <v>973000</v>
      </c>
      <c r="L124" s="159">
        <v>973000</v>
      </c>
      <c r="M124" s="158">
        <v>500000</v>
      </c>
      <c r="N124" s="159">
        <v>500000</v>
      </c>
      <c r="O124" s="158">
        <v>16000000</v>
      </c>
      <c r="P124" s="159">
        <v>16000000</v>
      </c>
      <c r="Q124" s="165">
        <f t="shared" si="78"/>
        <v>15500000</v>
      </c>
      <c r="R124" s="166">
        <f t="shared" si="78"/>
        <v>15500000</v>
      </c>
      <c r="S124" s="156">
        <v>500000</v>
      </c>
      <c r="T124" s="160"/>
      <c r="U124" s="157">
        <f>+S124</f>
        <v>500000</v>
      </c>
      <c r="V124" s="161">
        <v>2000000</v>
      </c>
      <c r="W124" s="158">
        <v>0</v>
      </c>
      <c r="X124" s="160"/>
      <c r="Y124" s="160"/>
      <c r="Z124" s="160">
        <f>W124</f>
        <v>0</v>
      </c>
      <c r="AA124" s="160"/>
      <c r="AB124" s="159"/>
      <c r="AC124" s="158">
        <f t="shared" si="69"/>
        <v>2000000</v>
      </c>
      <c r="AD124" s="160"/>
      <c r="AE124" s="160"/>
      <c r="AF124" s="157"/>
      <c r="AG124" s="157">
        <f>AC124</f>
        <v>2000000</v>
      </c>
      <c r="AH124" s="159"/>
      <c r="AI124" s="35">
        <f t="shared" si="70"/>
        <v>0</v>
      </c>
      <c r="AJ124" s="11">
        <f t="shared" si="71"/>
        <v>0</v>
      </c>
      <c r="AK124" s="11">
        <f t="shared" si="72"/>
        <v>0</v>
      </c>
      <c r="AL124" s="11">
        <f t="shared" si="73"/>
        <v>2000000</v>
      </c>
      <c r="AM124" s="76">
        <f t="shared" si="74"/>
        <v>0</v>
      </c>
      <c r="AN124" s="51">
        <f t="shared" si="75"/>
        <v>2000000</v>
      </c>
      <c r="AO124" s="36"/>
      <c r="AP124" s="9"/>
      <c r="AQ124" s="9"/>
      <c r="AR124" s="9"/>
      <c r="AS124" s="9"/>
      <c r="AT124" s="9"/>
      <c r="AU124" s="9"/>
      <c r="AV124" s="9"/>
      <c r="AW124" s="10"/>
      <c r="AY124" s="11">
        <f t="shared" si="79"/>
        <v>0</v>
      </c>
    </row>
    <row r="125" spans="5:51" ht="60" customHeight="1" x14ac:dyDescent="0.2">
      <c r="E125" s="151">
        <f t="shared" si="77"/>
        <v>30212</v>
      </c>
      <c r="F125" s="170" t="s">
        <v>292</v>
      </c>
      <c r="G125" s="156"/>
      <c r="H125" s="157"/>
      <c r="I125" s="158">
        <v>300000</v>
      </c>
      <c r="J125" s="159">
        <v>300000</v>
      </c>
      <c r="K125" s="158">
        <f>500000+250000</f>
        <v>750000</v>
      </c>
      <c r="L125" s="159">
        <v>750000</v>
      </c>
      <c r="M125" s="158">
        <v>500000</v>
      </c>
      <c r="N125" s="159">
        <v>500000</v>
      </c>
      <c r="O125" s="158">
        <v>1390000</v>
      </c>
      <c r="P125" s="159">
        <v>1390000</v>
      </c>
      <c r="Q125" s="165">
        <f t="shared" si="78"/>
        <v>890000</v>
      </c>
      <c r="R125" s="166">
        <f t="shared" si="78"/>
        <v>890000</v>
      </c>
      <c r="S125" s="156">
        <v>200000</v>
      </c>
      <c r="T125" s="160"/>
      <c r="U125" s="157">
        <f>+S125-T125</f>
        <v>200000</v>
      </c>
      <c r="V125" s="161">
        <v>1500000</v>
      </c>
      <c r="W125" s="158">
        <v>0</v>
      </c>
      <c r="X125" s="160"/>
      <c r="Y125" s="160"/>
      <c r="Z125" s="160">
        <f>W125</f>
        <v>0</v>
      </c>
      <c r="AA125" s="160"/>
      <c r="AB125" s="159"/>
      <c r="AC125" s="158">
        <f t="shared" si="69"/>
        <v>1500000</v>
      </c>
      <c r="AD125" s="160"/>
      <c r="AE125" s="160"/>
      <c r="AF125" s="157"/>
      <c r="AG125" s="157"/>
      <c r="AH125" s="159">
        <f>V125-Z125</f>
        <v>1500000</v>
      </c>
      <c r="AI125" s="35">
        <f t="shared" si="70"/>
        <v>0</v>
      </c>
      <c r="AJ125" s="11">
        <f t="shared" si="71"/>
        <v>0</v>
      </c>
      <c r="AK125" s="11">
        <f t="shared" si="72"/>
        <v>0</v>
      </c>
      <c r="AL125" s="11">
        <f t="shared" si="73"/>
        <v>0</v>
      </c>
      <c r="AM125" s="76">
        <f t="shared" si="74"/>
        <v>1500000</v>
      </c>
      <c r="AN125" s="51">
        <f t="shared" si="75"/>
        <v>1500000</v>
      </c>
      <c r="AO125" s="36"/>
      <c r="AP125" s="9"/>
      <c r="AQ125" s="9"/>
      <c r="AR125" s="9"/>
      <c r="AS125" s="9"/>
      <c r="AT125" s="9"/>
      <c r="AU125" s="9"/>
      <c r="AV125" s="9">
        <f t="shared" si="76"/>
        <v>0</v>
      </c>
      <c r="AW125" s="10"/>
      <c r="AY125" s="11">
        <f t="shared" si="79"/>
        <v>0</v>
      </c>
    </row>
    <row r="126" spans="5:51" ht="60" customHeight="1" x14ac:dyDescent="0.2">
      <c r="E126" s="151">
        <f t="shared" si="77"/>
        <v>30213</v>
      </c>
      <c r="F126" s="170" t="s">
        <v>325</v>
      </c>
      <c r="G126" s="156"/>
      <c r="H126" s="157"/>
      <c r="I126" s="158"/>
      <c r="J126" s="159"/>
      <c r="K126" s="158"/>
      <c r="L126" s="159"/>
      <c r="M126" s="158"/>
      <c r="N126" s="159">
        <v>224000</v>
      </c>
      <c r="O126" s="158">
        <v>150000</v>
      </c>
      <c r="P126" s="159">
        <v>150000</v>
      </c>
      <c r="Q126" s="165">
        <f t="shared" si="78"/>
        <v>150000</v>
      </c>
      <c r="R126" s="166">
        <f t="shared" si="78"/>
        <v>-74000</v>
      </c>
      <c r="S126" s="156">
        <v>100000</v>
      </c>
      <c r="T126" s="160"/>
      <c r="U126" s="157">
        <f>+S126</f>
        <v>100000</v>
      </c>
      <c r="V126" s="161">
        <v>200000</v>
      </c>
      <c r="W126" s="158">
        <v>100000</v>
      </c>
      <c r="X126" s="160"/>
      <c r="Y126" s="160"/>
      <c r="Z126" s="160"/>
      <c r="AA126" s="160">
        <f>W126</f>
        <v>100000</v>
      </c>
      <c r="AB126" s="159"/>
      <c r="AC126" s="158">
        <f t="shared" si="69"/>
        <v>100000</v>
      </c>
      <c r="AD126" s="160"/>
      <c r="AE126" s="160"/>
      <c r="AF126" s="157"/>
      <c r="AG126" s="157">
        <f>AC126</f>
        <v>100000</v>
      </c>
      <c r="AH126" s="159"/>
      <c r="AI126" s="35">
        <f t="shared" si="70"/>
        <v>0</v>
      </c>
      <c r="AJ126" s="11">
        <f t="shared" si="71"/>
        <v>0</v>
      </c>
      <c r="AK126" s="11">
        <f t="shared" si="72"/>
        <v>0</v>
      </c>
      <c r="AL126" s="11">
        <f t="shared" si="73"/>
        <v>200000</v>
      </c>
      <c r="AM126" s="76">
        <f t="shared" si="74"/>
        <v>0</v>
      </c>
      <c r="AN126" s="51">
        <f t="shared" si="75"/>
        <v>200000</v>
      </c>
      <c r="AO126" s="36"/>
      <c r="AP126" s="9"/>
      <c r="AQ126" s="9"/>
      <c r="AR126" s="9"/>
      <c r="AS126" s="9"/>
      <c r="AT126" s="9"/>
      <c r="AU126" s="9"/>
      <c r="AV126" s="9"/>
      <c r="AW126" s="10"/>
      <c r="AY126" s="11">
        <f t="shared" si="79"/>
        <v>0</v>
      </c>
    </row>
    <row r="127" spans="5:51" ht="60" customHeight="1" x14ac:dyDescent="0.2">
      <c r="E127" s="149"/>
      <c r="F127" s="127" t="s">
        <v>64</v>
      </c>
      <c r="G127" s="118">
        <f t="shared" ref="G127:AW127" si="80">SUM(G114:G126)</f>
        <v>5645000</v>
      </c>
      <c r="H127" s="116">
        <f t="shared" si="80"/>
        <v>3336000</v>
      </c>
      <c r="I127" s="115">
        <f t="shared" si="80"/>
        <v>9720000</v>
      </c>
      <c r="J127" s="117">
        <f t="shared" si="80"/>
        <v>6970000</v>
      </c>
      <c r="K127" s="115">
        <f t="shared" si="80"/>
        <v>8823000</v>
      </c>
      <c r="L127" s="117">
        <f t="shared" si="80"/>
        <v>7312500</v>
      </c>
      <c r="M127" s="115">
        <f t="shared" si="80"/>
        <v>8730000</v>
      </c>
      <c r="N127" s="117">
        <f t="shared" si="80"/>
        <v>7164000</v>
      </c>
      <c r="O127" s="115">
        <f t="shared" si="80"/>
        <v>28710000</v>
      </c>
      <c r="P127" s="117">
        <f t="shared" si="80"/>
        <v>26790000</v>
      </c>
      <c r="Q127" s="115">
        <f t="shared" si="80"/>
        <v>19980000</v>
      </c>
      <c r="R127" s="117">
        <f t="shared" si="80"/>
        <v>19626000</v>
      </c>
      <c r="S127" s="118">
        <f t="shared" si="80"/>
        <v>4665000</v>
      </c>
      <c r="T127" s="118">
        <f t="shared" si="80"/>
        <v>0</v>
      </c>
      <c r="U127" s="118">
        <f t="shared" si="80"/>
        <v>4665000</v>
      </c>
      <c r="V127" s="119">
        <f t="shared" si="80"/>
        <v>11270000</v>
      </c>
      <c r="W127" s="115">
        <f t="shared" si="80"/>
        <v>5870000</v>
      </c>
      <c r="X127" s="120">
        <f t="shared" si="80"/>
        <v>800000</v>
      </c>
      <c r="Y127" s="120">
        <f t="shared" si="80"/>
        <v>400000</v>
      </c>
      <c r="Z127" s="120">
        <f t="shared" si="80"/>
        <v>0</v>
      </c>
      <c r="AA127" s="120">
        <f t="shared" si="80"/>
        <v>370000</v>
      </c>
      <c r="AB127" s="117">
        <f t="shared" si="80"/>
        <v>4300000</v>
      </c>
      <c r="AC127" s="115">
        <f t="shared" si="80"/>
        <v>5400000</v>
      </c>
      <c r="AD127" s="120">
        <f t="shared" si="80"/>
        <v>0</v>
      </c>
      <c r="AE127" s="120">
        <f t="shared" si="80"/>
        <v>0</v>
      </c>
      <c r="AF127" s="116">
        <f t="shared" si="80"/>
        <v>0</v>
      </c>
      <c r="AG127" s="116">
        <f t="shared" si="80"/>
        <v>2600000</v>
      </c>
      <c r="AH127" s="117">
        <f t="shared" si="80"/>
        <v>2800000</v>
      </c>
      <c r="AI127" s="47">
        <f t="shared" si="80"/>
        <v>800000</v>
      </c>
      <c r="AJ127" s="10">
        <f t="shared" si="80"/>
        <v>400000</v>
      </c>
      <c r="AK127" s="10">
        <f t="shared" si="80"/>
        <v>0</v>
      </c>
      <c r="AL127" s="10">
        <f t="shared" si="80"/>
        <v>2970000</v>
      </c>
      <c r="AM127" s="48">
        <f t="shared" si="80"/>
        <v>7100000</v>
      </c>
      <c r="AN127" s="52">
        <f t="shared" si="80"/>
        <v>10470000</v>
      </c>
      <c r="AO127" s="47">
        <f t="shared" si="80"/>
        <v>0</v>
      </c>
      <c r="AP127" s="47">
        <f t="shared" si="80"/>
        <v>0</v>
      </c>
      <c r="AQ127" s="47">
        <f t="shared" si="80"/>
        <v>0</v>
      </c>
      <c r="AR127" s="47">
        <f t="shared" si="80"/>
        <v>0</v>
      </c>
      <c r="AS127" s="47">
        <f t="shared" si="80"/>
        <v>0</v>
      </c>
      <c r="AT127" s="47">
        <f t="shared" si="80"/>
        <v>0</v>
      </c>
      <c r="AU127" s="47">
        <f t="shared" si="80"/>
        <v>0</v>
      </c>
      <c r="AV127" s="47">
        <f t="shared" si="80"/>
        <v>0</v>
      </c>
      <c r="AW127" s="47">
        <f t="shared" si="80"/>
        <v>0</v>
      </c>
      <c r="AY127" s="11">
        <f t="shared" si="79"/>
        <v>0</v>
      </c>
    </row>
    <row r="128" spans="5:51" ht="60" customHeight="1" x14ac:dyDescent="0.2">
      <c r="E128" s="151">
        <v>30300</v>
      </c>
      <c r="F128" s="155" t="s">
        <v>65</v>
      </c>
      <c r="G128" s="156"/>
      <c r="H128" s="157"/>
      <c r="I128" s="158"/>
      <c r="J128" s="159"/>
      <c r="K128" s="158"/>
      <c r="L128" s="159"/>
      <c r="M128" s="158"/>
      <c r="N128" s="159"/>
      <c r="O128" s="158"/>
      <c r="P128" s="159"/>
      <c r="Q128" s="158"/>
      <c r="R128" s="159"/>
      <c r="S128" s="156"/>
      <c r="T128" s="160"/>
      <c r="U128" s="157"/>
      <c r="V128" s="161"/>
      <c r="W128" s="158"/>
      <c r="X128" s="160"/>
      <c r="Y128" s="160"/>
      <c r="Z128" s="160"/>
      <c r="AA128" s="160"/>
      <c r="AB128" s="159"/>
      <c r="AC128" s="158"/>
      <c r="AD128" s="160"/>
      <c r="AE128" s="160"/>
      <c r="AF128" s="157"/>
      <c r="AG128" s="157"/>
      <c r="AH128" s="159"/>
      <c r="AI128" s="45"/>
      <c r="AJ128" s="9"/>
      <c r="AK128" s="9"/>
      <c r="AL128" s="9"/>
      <c r="AM128" s="46"/>
      <c r="AN128" s="50"/>
      <c r="AO128" s="36"/>
      <c r="AP128" s="9"/>
      <c r="AQ128" s="9"/>
      <c r="AR128" s="9"/>
      <c r="AS128" s="9"/>
      <c r="AT128" s="9"/>
      <c r="AU128" s="9"/>
      <c r="AV128" s="9"/>
      <c r="AW128" s="10">
        <f t="shared" si="51"/>
        <v>0</v>
      </c>
      <c r="AY128" s="11">
        <f t="shared" si="79"/>
        <v>0</v>
      </c>
    </row>
    <row r="129" spans="5:51" ht="60" customHeight="1" x14ac:dyDescent="0.2">
      <c r="E129" s="151">
        <f>E128+1</f>
        <v>30301</v>
      </c>
      <c r="F129" s="170" t="s">
        <v>66</v>
      </c>
      <c r="G129" s="156">
        <v>3503000</v>
      </c>
      <c r="H129" s="157">
        <v>3003000</v>
      </c>
      <c r="I129" s="158">
        <v>2400000</v>
      </c>
      <c r="J129" s="159">
        <f>I129</f>
        <v>2400000</v>
      </c>
      <c r="K129" s="158">
        <v>2660000</v>
      </c>
      <c r="L129" s="159">
        <v>2660000</v>
      </c>
      <c r="M129" s="158">
        <v>2520000</v>
      </c>
      <c r="N129" s="159">
        <v>2520000</v>
      </c>
      <c r="O129" s="158">
        <v>11600000</v>
      </c>
      <c r="P129" s="159">
        <v>11600000</v>
      </c>
      <c r="Q129" s="165">
        <f>O129-M129</f>
        <v>9080000</v>
      </c>
      <c r="R129" s="166">
        <f>P129-N129</f>
        <v>9080000</v>
      </c>
      <c r="S129" s="156">
        <v>2200000</v>
      </c>
      <c r="T129" s="160"/>
      <c r="U129" s="164">
        <f>+S129-T129</f>
        <v>2200000</v>
      </c>
      <c r="V129" s="161">
        <v>4000000</v>
      </c>
      <c r="W129" s="158">
        <v>2400000</v>
      </c>
      <c r="X129" s="160">
        <v>900000</v>
      </c>
      <c r="Y129" s="160"/>
      <c r="Z129" s="160"/>
      <c r="AA129" s="160">
        <f>(W129-X129)/2</f>
        <v>750000</v>
      </c>
      <c r="AB129" s="159">
        <f>W129-X129-AA129</f>
        <v>750000</v>
      </c>
      <c r="AC129" s="158">
        <f t="shared" ref="AC129:AC144" si="81">V129-W129</f>
        <v>1600000</v>
      </c>
      <c r="AD129" s="160"/>
      <c r="AE129" s="160"/>
      <c r="AF129" s="157"/>
      <c r="AG129" s="160">
        <f>(AC129-AD129)/2</f>
        <v>800000</v>
      </c>
      <c r="AH129" s="159">
        <f>AC129-AD129-AG129</f>
        <v>800000</v>
      </c>
      <c r="AI129" s="35">
        <f t="shared" ref="AI129:AI144" si="82">AD129+X129</f>
        <v>900000</v>
      </c>
      <c r="AJ129" s="11">
        <f t="shared" ref="AJ129:AJ144" si="83">AE129+Y129</f>
        <v>0</v>
      </c>
      <c r="AK129" s="11">
        <f t="shared" ref="AK129:AK144" si="84">AF129+Z129</f>
        <v>0</v>
      </c>
      <c r="AL129" s="11">
        <f t="shared" ref="AL129:AL144" si="85">AG129+AA129</f>
        <v>1550000</v>
      </c>
      <c r="AM129" s="76">
        <f t="shared" ref="AM129:AM144" si="86">AH129+AB129</f>
        <v>1550000</v>
      </c>
      <c r="AN129" s="51">
        <f t="shared" ref="AN129:AN143" si="87">SUM(AJ129:AM129)</f>
        <v>3100000</v>
      </c>
      <c r="AO129" s="40"/>
      <c r="AP129" s="9"/>
      <c r="AQ129" s="13"/>
      <c r="AR129" s="13"/>
      <c r="AS129" s="13"/>
      <c r="AT129" s="13"/>
      <c r="AU129" s="13"/>
      <c r="AV129" s="9">
        <f t="shared" ref="AV129:AV143" si="88">AU129+AT129+AS129+AR129</f>
        <v>0</v>
      </c>
      <c r="AW129" s="10">
        <f t="shared" si="51"/>
        <v>0</v>
      </c>
      <c r="AY129" s="11">
        <f t="shared" si="79"/>
        <v>0</v>
      </c>
    </row>
    <row r="130" spans="5:51" ht="60" customHeight="1" x14ac:dyDescent="0.2">
      <c r="E130" s="151">
        <f t="shared" ref="E130:E144" si="89">E129+1</f>
        <v>30302</v>
      </c>
      <c r="F130" s="170" t="s">
        <v>67</v>
      </c>
      <c r="G130" s="156">
        <v>600000</v>
      </c>
      <c r="H130" s="157"/>
      <c r="I130" s="158">
        <v>600000</v>
      </c>
      <c r="J130" s="159"/>
      <c r="K130" s="158">
        <f>600000+723750</f>
        <v>1323750</v>
      </c>
      <c r="L130" s="159">
        <v>723750</v>
      </c>
      <c r="M130" s="158">
        <v>1350000</v>
      </c>
      <c r="N130" s="159">
        <f>350000+396986+150000</f>
        <v>896986</v>
      </c>
      <c r="O130" s="158">
        <v>600000</v>
      </c>
      <c r="P130" s="159">
        <v>175000</v>
      </c>
      <c r="Q130" s="165">
        <f t="shared" ref="Q130:R144" si="90">O130-M130</f>
        <v>-750000</v>
      </c>
      <c r="R130" s="166">
        <f t="shared" si="90"/>
        <v>-721986</v>
      </c>
      <c r="S130" s="156">
        <v>500000</v>
      </c>
      <c r="T130" s="160">
        <f>+S130</f>
        <v>500000</v>
      </c>
      <c r="U130" s="157"/>
      <c r="V130" s="161">
        <v>600000</v>
      </c>
      <c r="W130" s="158">
        <v>600000</v>
      </c>
      <c r="X130" s="160">
        <f>W130</f>
        <v>600000</v>
      </c>
      <c r="Y130" s="160"/>
      <c r="Z130" s="160"/>
      <c r="AA130" s="160"/>
      <c r="AB130" s="159"/>
      <c r="AC130" s="158">
        <f t="shared" si="81"/>
        <v>0</v>
      </c>
      <c r="AD130" s="160"/>
      <c r="AE130" s="160"/>
      <c r="AF130" s="157"/>
      <c r="AG130" s="157"/>
      <c r="AH130" s="159"/>
      <c r="AI130" s="35">
        <f t="shared" si="82"/>
        <v>600000</v>
      </c>
      <c r="AJ130" s="11">
        <f t="shared" si="83"/>
        <v>0</v>
      </c>
      <c r="AK130" s="11">
        <f t="shared" si="84"/>
        <v>0</v>
      </c>
      <c r="AL130" s="11">
        <f t="shared" si="85"/>
        <v>0</v>
      </c>
      <c r="AM130" s="76">
        <f t="shared" si="86"/>
        <v>0</v>
      </c>
      <c r="AN130" s="51">
        <f t="shared" si="87"/>
        <v>0</v>
      </c>
      <c r="AO130" s="36"/>
      <c r="AP130" s="9"/>
      <c r="AQ130" s="13"/>
      <c r="AR130" s="9"/>
      <c r="AS130" s="9"/>
      <c r="AT130" s="9"/>
      <c r="AU130" s="9"/>
      <c r="AV130" s="9">
        <f t="shared" si="88"/>
        <v>0</v>
      </c>
      <c r="AW130" s="10">
        <f t="shared" si="51"/>
        <v>0</v>
      </c>
      <c r="AY130" s="11">
        <f t="shared" si="79"/>
        <v>0</v>
      </c>
    </row>
    <row r="131" spans="5:51" ht="60" customHeight="1" x14ac:dyDescent="0.2">
      <c r="E131" s="151">
        <f t="shared" si="89"/>
        <v>30303</v>
      </c>
      <c r="F131" s="170" t="s">
        <v>68</v>
      </c>
      <c r="G131" s="156">
        <v>3000000</v>
      </c>
      <c r="H131" s="157">
        <v>3000000</v>
      </c>
      <c r="I131" s="158">
        <v>2850000</v>
      </c>
      <c r="J131" s="159">
        <f>I131</f>
        <v>2850000</v>
      </c>
      <c r="K131" s="158">
        <v>2660000</v>
      </c>
      <c r="L131" s="159">
        <f>200000+59760+600000+1800000</f>
        <v>2659760</v>
      </c>
      <c r="M131" s="158">
        <v>3550000</v>
      </c>
      <c r="N131" s="159">
        <v>3550000</v>
      </c>
      <c r="O131" s="158">
        <v>4400000</v>
      </c>
      <c r="P131" s="159">
        <v>4400000</v>
      </c>
      <c r="Q131" s="165">
        <f t="shared" si="90"/>
        <v>850000</v>
      </c>
      <c r="R131" s="166">
        <f t="shared" si="90"/>
        <v>850000</v>
      </c>
      <c r="S131" s="156">
        <v>800000</v>
      </c>
      <c r="T131" s="160"/>
      <c r="U131" s="164">
        <f t="shared" ref="U131:U138" si="91">+S131</f>
        <v>800000</v>
      </c>
      <c r="V131" s="161">
        <v>4300000</v>
      </c>
      <c r="W131" s="158">
        <f>V131</f>
        <v>4300000</v>
      </c>
      <c r="X131" s="160"/>
      <c r="Y131" s="160"/>
      <c r="Z131" s="160"/>
      <c r="AA131" s="160">
        <f>W131/2</f>
        <v>2150000</v>
      </c>
      <c r="AB131" s="159">
        <f>W131-AA131</f>
        <v>2150000</v>
      </c>
      <c r="AC131" s="158">
        <f t="shared" si="81"/>
        <v>0</v>
      </c>
      <c r="AD131" s="160"/>
      <c r="AE131" s="160"/>
      <c r="AF131" s="157"/>
      <c r="AG131" s="157"/>
      <c r="AH131" s="159">
        <f>AC131</f>
        <v>0</v>
      </c>
      <c r="AI131" s="35">
        <f t="shared" si="82"/>
        <v>0</v>
      </c>
      <c r="AJ131" s="11">
        <f t="shared" si="83"/>
        <v>0</v>
      </c>
      <c r="AK131" s="11">
        <f t="shared" si="84"/>
        <v>0</v>
      </c>
      <c r="AL131" s="11">
        <f t="shared" si="85"/>
        <v>2150000</v>
      </c>
      <c r="AM131" s="76">
        <f t="shared" si="86"/>
        <v>2150000</v>
      </c>
      <c r="AN131" s="51">
        <f t="shared" si="87"/>
        <v>4300000</v>
      </c>
      <c r="AO131" s="36"/>
      <c r="AP131" s="9"/>
      <c r="AQ131" s="9"/>
      <c r="AR131" s="9"/>
      <c r="AS131" s="9"/>
      <c r="AT131" s="9"/>
      <c r="AU131" s="9"/>
      <c r="AV131" s="9">
        <f t="shared" si="88"/>
        <v>0</v>
      </c>
      <c r="AW131" s="10">
        <f t="shared" si="51"/>
        <v>0</v>
      </c>
      <c r="AY131" s="11">
        <f t="shared" si="79"/>
        <v>0</v>
      </c>
    </row>
    <row r="132" spans="5:51" ht="60" customHeight="1" x14ac:dyDescent="0.2">
      <c r="E132" s="151">
        <f t="shared" si="89"/>
        <v>30304</v>
      </c>
      <c r="F132" s="170" t="s">
        <v>69</v>
      </c>
      <c r="G132" s="156">
        <v>1600000</v>
      </c>
      <c r="H132" s="157">
        <f>G132</f>
        <v>1600000</v>
      </c>
      <c r="I132" s="158">
        <v>1400000</v>
      </c>
      <c r="J132" s="159">
        <f>I132</f>
        <v>1400000</v>
      </c>
      <c r="K132" s="158">
        <v>2225000</v>
      </c>
      <c r="L132" s="159">
        <v>2225000</v>
      </c>
      <c r="M132" s="158">
        <v>1900000</v>
      </c>
      <c r="N132" s="159">
        <v>1875000</v>
      </c>
      <c r="O132" s="158">
        <v>2600000</v>
      </c>
      <c r="P132" s="159">
        <v>2600000</v>
      </c>
      <c r="Q132" s="165">
        <f t="shared" si="90"/>
        <v>700000</v>
      </c>
      <c r="R132" s="166">
        <f t="shared" si="90"/>
        <v>725000</v>
      </c>
      <c r="S132" s="156">
        <v>480000</v>
      </c>
      <c r="T132" s="160"/>
      <c r="U132" s="157">
        <f t="shared" si="91"/>
        <v>480000</v>
      </c>
      <c r="V132" s="161">
        <v>2000000</v>
      </c>
      <c r="W132" s="158">
        <v>1750000</v>
      </c>
      <c r="X132" s="160"/>
      <c r="Y132" s="160"/>
      <c r="Z132" s="160"/>
      <c r="AA132" s="160">
        <f>W132/2</f>
        <v>875000</v>
      </c>
      <c r="AB132" s="159">
        <f>W132/2</f>
        <v>875000</v>
      </c>
      <c r="AC132" s="158">
        <f t="shared" si="81"/>
        <v>250000</v>
      </c>
      <c r="AD132" s="160"/>
      <c r="AE132" s="160"/>
      <c r="AF132" s="157"/>
      <c r="AG132" s="157">
        <f>AC132/2</f>
        <v>125000</v>
      </c>
      <c r="AH132" s="159">
        <f>AC132/2</f>
        <v>125000</v>
      </c>
      <c r="AI132" s="35">
        <f t="shared" si="82"/>
        <v>0</v>
      </c>
      <c r="AJ132" s="11">
        <f t="shared" si="83"/>
        <v>0</v>
      </c>
      <c r="AK132" s="11">
        <f t="shared" si="84"/>
        <v>0</v>
      </c>
      <c r="AL132" s="11">
        <f t="shared" si="85"/>
        <v>1000000</v>
      </c>
      <c r="AM132" s="76">
        <f t="shared" si="86"/>
        <v>1000000</v>
      </c>
      <c r="AN132" s="51">
        <f t="shared" si="87"/>
        <v>2000000</v>
      </c>
      <c r="AO132" s="36"/>
      <c r="AP132" s="9"/>
      <c r="AQ132" s="9"/>
      <c r="AR132" s="9"/>
      <c r="AS132" s="9"/>
      <c r="AT132" s="9"/>
      <c r="AU132" s="9"/>
      <c r="AV132" s="9">
        <f t="shared" si="88"/>
        <v>0</v>
      </c>
      <c r="AW132" s="10">
        <f t="shared" si="51"/>
        <v>0</v>
      </c>
      <c r="AY132" s="11">
        <f t="shared" si="79"/>
        <v>0</v>
      </c>
    </row>
    <row r="133" spans="5:51" ht="60" customHeight="1" x14ac:dyDescent="0.2">
      <c r="E133" s="151">
        <f t="shared" si="89"/>
        <v>30305</v>
      </c>
      <c r="F133" s="170" t="s">
        <v>70</v>
      </c>
      <c r="G133" s="156">
        <v>200000</v>
      </c>
      <c r="H133" s="157">
        <v>200000</v>
      </c>
      <c r="I133" s="158">
        <v>200000</v>
      </c>
      <c r="J133" s="159">
        <v>200000</v>
      </c>
      <c r="K133" s="158">
        <v>235000</v>
      </c>
      <c r="L133" s="159">
        <v>235000</v>
      </c>
      <c r="M133" s="158">
        <v>300000</v>
      </c>
      <c r="N133" s="159">
        <v>300000</v>
      </c>
      <c r="O133" s="158">
        <v>550000</v>
      </c>
      <c r="P133" s="159">
        <v>550000</v>
      </c>
      <c r="Q133" s="165">
        <f t="shared" si="90"/>
        <v>250000</v>
      </c>
      <c r="R133" s="166">
        <f t="shared" si="90"/>
        <v>250000</v>
      </c>
      <c r="S133" s="156">
        <v>170000</v>
      </c>
      <c r="T133" s="160"/>
      <c r="U133" s="157">
        <f t="shared" si="91"/>
        <v>170000</v>
      </c>
      <c r="V133" s="161">
        <v>600000</v>
      </c>
      <c r="W133" s="158">
        <v>500000</v>
      </c>
      <c r="X133" s="160"/>
      <c r="Y133" s="160"/>
      <c r="Z133" s="160"/>
      <c r="AA133" s="160">
        <f>W133</f>
        <v>500000</v>
      </c>
      <c r="AB133" s="159"/>
      <c r="AC133" s="158">
        <f t="shared" si="81"/>
        <v>100000</v>
      </c>
      <c r="AD133" s="160"/>
      <c r="AE133" s="160"/>
      <c r="AF133" s="157"/>
      <c r="AG133" s="157">
        <f>AC133</f>
        <v>100000</v>
      </c>
      <c r="AH133" s="159"/>
      <c r="AI133" s="35">
        <f t="shared" si="82"/>
        <v>0</v>
      </c>
      <c r="AJ133" s="11">
        <f t="shared" si="83"/>
        <v>0</v>
      </c>
      <c r="AK133" s="11">
        <f t="shared" si="84"/>
        <v>0</v>
      </c>
      <c r="AL133" s="11">
        <f t="shared" si="85"/>
        <v>600000</v>
      </c>
      <c r="AM133" s="76">
        <f t="shared" si="86"/>
        <v>0</v>
      </c>
      <c r="AN133" s="51">
        <f t="shared" si="87"/>
        <v>600000</v>
      </c>
      <c r="AO133" s="36"/>
      <c r="AP133" s="9"/>
      <c r="AQ133" s="9"/>
      <c r="AR133" s="9"/>
      <c r="AS133" s="9"/>
      <c r="AT133" s="9"/>
      <c r="AU133" s="9"/>
      <c r="AV133" s="9">
        <f t="shared" si="88"/>
        <v>0</v>
      </c>
      <c r="AW133" s="10">
        <f t="shared" si="51"/>
        <v>0</v>
      </c>
      <c r="AY133" s="11">
        <f t="shared" si="79"/>
        <v>0</v>
      </c>
    </row>
    <row r="134" spans="5:51" ht="60" customHeight="1" x14ac:dyDescent="0.2">
      <c r="E134" s="151">
        <f t="shared" si="89"/>
        <v>30306</v>
      </c>
      <c r="F134" s="170" t="s">
        <v>512</v>
      </c>
      <c r="G134" s="156">
        <f>300000+150000</f>
        <v>450000</v>
      </c>
      <c r="H134" s="157">
        <f>G134</f>
        <v>450000</v>
      </c>
      <c r="I134" s="158">
        <f>300000+200000</f>
        <v>500000</v>
      </c>
      <c r="J134" s="159">
        <f>I134</f>
        <v>500000</v>
      </c>
      <c r="K134" s="158">
        <f>650000+200000</f>
        <v>850000</v>
      </c>
      <c r="L134" s="159">
        <f>650000+200000</f>
        <v>850000</v>
      </c>
      <c r="M134" s="158">
        <f>300000+200000</f>
        <v>500000</v>
      </c>
      <c r="N134" s="159">
        <f>300000+200000</f>
        <v>500000</v>
      </c>
      <c r="O134" s="158">
        <v>300000</v>
      </c>
      <c r="P134" s="159">
        <v>300000</v>
      </c>
      <c r="Q134" s="165">
        <f t="shared" si="90"/>
        <v>-200000</v>
      </c>
      <c r="R134" s="166">
        <f t="shared" si="90"/>
        <v>-200000</v>
      </c>
      <c r="S134" s="156">
        <v>140000</v>
      </c>
      <c r="T134" s="160"/>
      <c r="U134" s="157">
        <f t="shared" si="91"/>
        <v>140000</v>
      </c>
      <c r="V134" s="161">
        <v>1000000</v>
      </c>
      <c r="W134" s="158">
        <v>500000</v>
      </c>
      <c r="X134" s="160"/>
      <c r="Y134" s="160"/>
      <c r="Z134" s="160"/>
      <c r="AA134" s="160">
        <f>W134/2</f>
        <v>250000</v>
      </c>
      <c r="AB134" s="159">
        <f>W134/2</f>
        <v>250000</v>
      </c>
      <c r="AC134" s="158">
        <f t="shared" si="81"/>
        <v>500000</v>
      </c>
      <c r="AD134" s="160"/>
      <c r="AE134" s="160"/>
      <c r="AF134" s="157"/>
      <c r="AG134" s="160">
        <f>AC134/2</f>
        <v>250000</v>
      </c>
      <c r="AH134" s="159">
        <f>AC134/2</f>
        <v>250000</v>
      </c>
      <c r="AI134" s="35">
        <f t="shared" si="82"/>
        <v>0</v>
      </c>
      <c r="AJ134" s="11">
        <f t="shared" si="83"/>
        <v>0</v>
      </c>
      <c r="AK134" s="11">
        <f t="shared" si="84"/>
        <v>0</v>
      </c>
      <c r="AL134" s="11">
        <f t="shared" si="85"/>
        <v>500000</v>
      </c>
      <c r="AM134" s="76">
        <f t="shared" si="86"/>
        <v>500000</v>
      </c>
      <c r="AN134" s="51">
        <f t="shared" si="87"/>
        <v>1000000</v>
      </c>
      <c r="AO134" s="36"/>
      <c r="AP134" s="9"/>
      <c r="AQ134" s="9"/>
      <c r="AR134" s="9"/>
      <c r="AS134" s="9"/>
      <c r="AT134" s="9"/>
      <c r="AU134" s="9"/>
      <c r="AV134" s="9">
        <f t="shared" si="88"/>
        <v>0</v>
      </c>
      <c r="AW134" s="10">
        <f t="shared" si="51"/>
        <v>0</v>
      </c>
      <c r="AY134" s="11">
        <f t="shared" si="79"/>
        <v>0</v>
      </c>
    </row>
    <row r="135" spans="5:51" ht="60" customHeight="1" x14ac:dyDescent="0.2">
      <c r="E135" s="151">
        <f t="shared" si="89"/>
        <v>30307</v>
      </c>
      <c r="F135" s="170" t="s">
        <v>326</v>
      </c>
      <c r="G135" s="156">
        <v>500000</v>
      </c>
      <c r="H135" s="157">
        <f>G135</f>
        <v>500000</v>
      </c>
      <c r="I135" s="158">
        <v>500000</v>
      </c>
      <c r="J135" s="159">
        <f>I135</f>
        <v>500000</v>
      </c>
      <c r="K135" s="158">
        <v>630000</v>
      </c>
      <c r="L135" s="159">
        <v>630000</v>
      </c>
      <c r="M135" s="158">
        <v>1500000</v>
      </c>
      <c r="N135" s="159">
        <f>120500+84500+445500+450000+150000+250000</f>
        <v>1500500</v>
      </c>
      <c r="O135" s="158">
        <v>4050000</v>
      </c>
      <c r="P135" s="159">
        <v>4050000</v>
      </c>
      <c r="Q135" s="165">
        <f t="shared" si="90"/>
        <v>2550000</v>
      </c>
      <c r="R135" s="166">
        <f t="shared" si="90"/>
        <v>2549500</v>
      </c>
      <c r="S135" s="156">
        <v>120000</v>
      </c>
      <c r="T135" s="160"/>
      <c r="U135" s="157">
        <f t="shared" si="91"/>
        <v>120000</v>
      </c>
      <c r="V135" s="161">
        <v>500000</v>
      </c>
      <c r="W135" s="158">
        <v>500000</v>
      </c>
      <c r="X135" s="160"/>
      <c r="Y135" s="160"/>
      <c r="Z135" s="160"/>
      <c r="AA135" s="160">
        <f>W135</f>
        <v>500000</v>
      </c>
      <c r="AB135" s="159"/>
      <c r="AC135" s="158">
        <f t="shared" si="81"/>
        <v>0</v>
      </c>
      <c r="AD135" s="160"/>
      <c r="AE135" s="160"/>
      <c r="AF135" s="157"/>
      <c r="AG135" s="157"/>
      <c r="AH135" s="159"/>
      <c r="AI135" s="35">
        <f t="shared" si="82"/>
        <v>0</v>
      </c>
      <c r="AJ135" s="11">
        <f t="shared" si="83"/>
        <v>0</v>
      </c>
      <c r="AK135" s="11">
        <f t="shared" si="84"/>
        <v>0</v>
      </c>
      <c r="AL135" s="11">
        <f t="shared" si="85"/>
        <v>500000</v>
      </c>
      <c r="AM135" s="76">
        <f t="shared" si="86"/>
        <v>0</v>
      </c>
      <c r="AN135" s="51">
        <f t="shared" si="87"/>
        <v>500000</v>
      </c>
      <c r="AO135" s="36"/>
      <c r="AP135" s="9"/>
      <c r="AQ135" s="9"/>
      <c r="AR135" s="9"/>
      <c r="AS135" s="9"/>
      <c r="AT135" s="9"/>
      <c r="AU135" s="9"/>
      <c r="AV135" s="9">
        <f t="shared" si="88"/>
        <v>0</v>
      </c>
      <c r="AW135" s="10">
        <f t="shared" si="51"/>
        <v>0</v>
      </c>
      <c r="AY135" s="11">
        <f t="shared" si="79"/>
        <v>0</v>
      </c>
    </row>
    <row r="136" spans="5:51" ht="60" customHeight="1" x14ac:dyDescent="0.2">
      <c r="E136" s="151">
        <f t="shared" si="89"/>
        <v>30308</v>
      </c>
      <c r="F136" s="170" t="s">
        <v>71</v>
      </c>
      <c r="G136" s="156">
        <v>250000</v>
      </c>
      <c r="H136" s="157">
        <f>G136</f>
        <v>250000</v>
      </c>
      <c r="I136" s="158">
        <v>200000</v>
      </c>
      <c r="J136" s="159">
        <f>I136</f>
        <v>200000</v>
      </c>
      <c r="K136" s="158">
        <v>200000</v>
      </c>
      <c r="L136" s="159">
        <v>200000</v>
      </c>
      <c r="M136" s="158">
        <v>300000</v>
      </c>
      <c r="N136" s="159">
        <v>300000</v>
      </c>
      <c r="O136" s="158">
        <v>1400000</v>
      </c>
      <c r="P136" s="159">
        <v>1400000</v>
      </c>
      <c r="Q136" s="165">
        <f t="shared" si="90"/>
        <v>1100000</v>
      </c>
      <c r="R136" s="166">
        <f t="shared" si="90"/>
        <v>1100000</v>
      </c>
      <c r="S136" s="156">
        <v>120000</v>
      </c>
      <c r="T136" s="160"/>
      <c r="U136" s="157">
        <f t="shared" si="91"/>
        <v>120000</v>
      </c>
      <c r="V136" s="161">
        <v>500000</v>
      </c>
      <c r="W136" s="158">
        <v>300000</v>
      </c>
      <c r="X136" s="160"/>
      <c r="Y136" s="160"/>
      <c r="Z136" s="160"/>
      <c r="AA136" s="160">
        <f>W136</f>
        <v>300000</v>
      </c>
      <c r="AB136" s="159"/>
      <c r="AC136" s="158">
        <f t="shared" si="81"/>
        <v>200000</v>
      </c>
      <c r="AD136" s="160"/>
      <c r="AE136" s="160"/>
      <c r="AF136" s="157"/>
      <c r="AG136" s="157">
        <f>AC136</f>
        <v>200000</v>
      </c>
      <c r="AH136" s="159"/>
      <c r="AI136" s="35">
        <f t="shared" si="82"/>
        <v>0</v>
      </c>
      <c r="AJ136" s="11">
        <f t="shared" si="83"/>
        <v>0</v>
      </c>
      <c r="AK136" s="11">
        <f t="shared" si="84"/>
        <v>0</v>
      </c>
      <c r="AL136" s="11">
        <f t="shared" si="85"/>
        <v>500000</v>
      </c>
      <c r="AM136" s="76">
        <f t="shared" si="86"/>
        <v>0</v>
      </c>
      <c r="AN136" s="51">
        <f t="shared" si="87"/>
        <v>500000</v>
      </c>
      <c r="AO136" s="36"/>
      <c r="AP136" s="9"/>
      <c r="AQ136" s="9"/>
      <c r="AR136" s="9"/>
      <c r="AS136" s="9"/>
      <c r="AT136" s="9"/>
      <c r="AU136" s="9"/>
      <c r="AV136" s="9">
        <f t="shared" si="88"/>
        <v>0</v>
      </c>
      <c r="AW136" s="10">
        <f t="shared" si="51"/>
        <v>0</v>
      </c>
      <c r="AY136" s="11">
        <f t="shared" si="79"/>
        <v>0</v>
      </c>
    </row>
    <row r="137" spans="5:51" ht="60" customHeight="1" x14ac:dyDescent="0.2">
      <c r="E137" s="151">
        <f t="shared" si="89"/>
        <v>30309</v>
      </c>
      <c r="F137" s="170" t="s">
        <v>327</v>
      </c>
      <c r="G137" s="156"/>
      <c r="H137" s="157"/>
      <c r="I137" s="158"/>
      <c r="J137" s="159"/>
      <c r="K137" s="158"/>
      <c r="L137" s="159"/>
      <c r="M137" s="158"/>
      <c r="N137" s="159"/>
      <c r="O137" s="158"/>
      <c r="P137" s="159"/>
      <c r="Q137" s="165">
        <f t="shared" si="90"/>
        <v>0</v>
      </c>
      <c r="R137" s="166">
        <f t="shared" si="90"/>
        <v>0</v>
      </c>
      <c r="S137" s="156">
        <v>180000</v>
      </c>
      <c r="T137" s="160"/>
      <c r="U137" s="157">
        <f t="shared" si="91"/>
        <v>180000</v>
      </c>
      <c r="V137" s="161">
        <v>500000</v>
      </c>
      <c r="W137" s="158">
        <v>350000</v>
      </c>
      <c r="X137" s="160"/>
      <c r="Y137" s="160"/>
      <c r="Z137" s="160"/>
      <c r="AA137" s="160">
        <f>W137</f>
        <v>350000</v>
      </c>
      <c r="AB137" s="159"/>
      <c r="AC137" s="158">
        <f t="shared" si="81"/>
        <v>150000</v>
      </c>
      <c r="AD137" s="160"/>
      <c r="AE137" s="160"/>
      <c r="AF137" s="157"/>
      <c r="AG137" s="157">
        <f>AC137</f>
        <v>150000</v>
      </c>
      <c r="AH137" s="159"/>
      <c r="AI137" s="35">
        <f t="shared" si="82"/>
        <v>0</v>
      </c>
      <c r="AJ137" s="11">
        <f t="shared" si="83"/>
        <v>0</v>
      </c>
      <c r="AK137" s="11">
        <f t="shared" si="84"/>
        <v>0</v>
      </c>
      <c r="AL137" s="11">
        <f t="shared" si="85"/>
        <v>500000</v>
      </c>
      <c r="AM137" s="76">
        <f t="shared" si="86"/>
        <v>0</v>
      </c>
      <c r="AN137" s="51">
        <f t="shared" si="87"/>
        <v>500000</v>
      </c>
      <c r="AO137" s="36"/>
      <c r="AP137" s="9"/>
      <c r="AQ137" s="9"/>
      <c r="AR137" s="9"/>
      <c r="AS137" s="9"/>
      <c r="AT137" s="9"/>
      <c r="AU137" s="9"/>
      <c r="AV137" s="9"/>
      <c r="AW137" s="10"/>
      <c r="AY137" s="11">
        <f t="shared" si="79"/>
        <v>0</v>
      </c>
    </row>
    <row r="138" spans="5:51" ht="81" x14ac:dyDescent="0.2">
      <c r="E138" s="151">
        <f t="shared" si="89"/>
        <v>30310</v>
      </c>
      <c r="F138" s="170" t="s">
        <v>72</v>
      </c>
      <c r="G138" s="156">
        <v>600000</v>
      </c>
      <c r="H138" s="157">
        <f>G138</f>
        <v>600000</v>
      </c>
      <c r="I138" s="158">
        <v>500000</v>
      </c>
      <c r="J138" s="159">
        <v>500000</v>
      </c>
      <c r="K138" s="158">
        <v>450000</v>
      </c>
      <c r="L138" s="159">
        <v>450000</v>
      </c>
      <c r="M138" s="158">
        <v>1300000</v>
      </c>
      <c r="N138" s="159">
        <v>1300000</v>
      </c>
      <c r="O138" s="158">
        <v>1300000</v>
      </c>
      <c r="P138" s="159">
        <v>1300000</v>
      </c>
      <c r="Q138" s="165">
        <f t="shared" si="90"/>
        <v>0</v>
      </c>
      <c r="R138" s="166">
        <f t="shared" si="90"/>
        <v>0</v>
      </c>
      <c r="S138" s="156">
        <v>1000000</v>
      </c>
      <c r="T138" s="160"/>
      <c r="U138" s="157">
        <f t="shared" si="91"/>
        <v>1000000</v>
      </c>
      <c r="V138" s="161">
        <v>1300000</v>
      </c>
      <c r="W138" s="158">
        <v>500000</v>
      </c>
      <c r="X138" s="160"/>
      <c r="Y138" s="160"/>
      <c r="Z138" s="160"/>
      <c r="AA138" s="160">
        <f>W138/2</f>
        <v>250000</v>
      </c>
      <c r="AB138" s="159">
        <f>W138/2</f>
        <v>250000</v>
      </c>
      <c r="AC138" s="158">
        <f t="shared" si="81"/>
        <v>800000</v>
      </c>
      <c r="AD138" s="160"/>
      <c r="AE138" s="160"/>
      <c r="AF138" s="157"/>
      <c r="AG138" s="157">
        <f>AC138/2</f>
        <v>400000</v>
      </c>
      <c r="AH138" s="159">
        <f>AC138/2</f>
        <v>400000</v>
      </c>
      <c r="AI138" s="35">
        <f t="shared" si="82"/>
        <v>0</v>
      </c>
      <c r="AJ138" s="11">
        <f t="shared" si="83"/>
        <v>0</v>
      </c>
      <c r="AK138" s="11">
        <f t="shared" si="84"/>
        <v>0</v>
      </c>
      <c r="AL138" s="11">
        <f t="shared" si="85"/>
        <v>650000</v>
      </c>
      <c r="AM138" s="76">
        <f t="shared" si="86"/>
        <v>650000</v>
      </c>
      <c r="AN138" s="51">
        <f t="shared" si="87"/>
        <v>1300000</v>
      </c>
      <c r="AO138" s="36"/>
      <c r="AP138" s="9"/>
      <c r="AQ138" s="9"/>
      <c r="AR138" s="9"/>
      <c r="AS138" s="9"/>
      <c r="AT138" s="9"/>
      <c r="AU138" s="9"/>
      <c r="AV138" s="9">
        <f t="shared" si="88"/>
        <v>0</v>
      </c>
      <c r="AW138" s="10">
        <f t="shared" si="51"/>
        <v>0</v>
      </c>
      <c r="AY138" s="11">
        <f t="shared" si="79"/>
        <v>0</v>
      </c>
    </row>
    <row r="139" spans="5:51" ht="60" customHeight="1" x14ac:dyDescent="0.2">
      <c r="E139" s="151">
        <f t="shared" si="89"/>
        <v>30311</v>
      </c>
      <c r="F139" s="170" t="s">
        <v>305</v>
      </c>
      <c r="G139" s="156">
        <v>350000</v>
      </c>
      <c r="H139" s="157">
        <f>G139</f>
        <v>350000</v>
      </c>
      <c r="I139" s="158">
        <v>805000</v>
      </c>
      <c r="J139" s="159">
        <f>I139</f>
        <v>805000</v>
      </c>
      <c r="K139" s="158">
        <f>500000+100000</f>
        <v>600000</v>
      </c>
      <c r="L139" s="159">
        <v>500000</v>
      </c>
      <c r="M139" s="158">
        <v>1900000</v>
      </c>
      <c r="N139" s="159">
        <v>1899200</v>
      </c>
      <c r="O139" s="158">
        <v>5600000</v>
      </c>
      <c r="P139" s="159">
        <v>5600000</v>
      </c>
      <c r="Q139" s="165">
        <f t="shared" si="90"/>
        <v>3700000</v>
      </c>
      <c r="R139" s="166">
        <f t="shared" si="90"/>
        <v>3700800</v>
      </c>
      <c r="S139" s="156">
        <v>2000000</v>
      </c>
      <c r="T139" s="160"/>
      <c r="U139" s="157">
        <f>+S139</f>
        <v>2000000</v>
      </c>
      <c r="V139" s="161">
        <v>1000000</v>
      </c>
      <c r="W139" s="158">
        <v>500000</v>
      </c>
      <c r="X139" s="160"/>
      <c r="Y139" s="160"/>
      <c r="Z139" s="160"/>
      <c r="AA139" s="160">
        <f>W139</f>
        <v>500000</v>
      </c>
      <c r="AB139" s="159"/>
      <c r="AC139" s="158">
        <f t="shared" si="81"/>
        <v>500000</v>
      </c>
      <c r="AD139" s="160"/>
      <c r="AE139" s="160"/>
      <c r="AF139" s="157"/>
      <c r="AG139" s="157">
        <f>AC139</f>
        <v>500000</v>
      </c>
      <c r="AH139" s="159"/>
      <c r="AI139" s="35">
        <f t="shared" si="82"/>
        <v>0</v>
      </c>
      <c r="AJ139" s="11">
        <f t="shared" si="83"/>
        <v>0</v>
      </c>
      <c r="AK139" s="11">
        <f t="shared" si="84"/>
        <v>0</v>
      </c>
      <c r="AL139" s="11">
        <f t="shared" si="85"/>
        <v>1000000</v>
      </c>
      <c r="AM139" s="76">
        <f t="shared" si="86"/>
        <v>0</v>
      </c>
      <c r="AN139" s="51">
        <f t="shared" si="87"/>
        <v>1000000</v>
      </c>
      <c r="AO139" s="36"/>
      <c r="AP139" s="9"/>
      <c r="AQ139" s="9"/>
      <c r="AR139" s="9"/>
      <c r="AS139" s="9"/>
      <c r="AT139" s="9"/>
      <c r="AU139" s="9"/>
      <c r="AV139" s="9">
        <f t="shared" si="88"/>
        <v>0</v>
      </c>
      <c r="AW139" s="10">
        <f t="shared" si="51"/>
        <v>0</v>
      </c>
      <c r="AY139" s="11">
        <f t="shared" si="79"/>
        <v>0</v>
      </c>
    </row>
    <row r="140" spans="5:51" ht="60" customHeight="1" x14ac:dyDescent="0.2">
      <c r="E140" s="151">
        <f t="shared" si="89"/>
        <v>30312</v>
      </c>
      <c r="F140" s="170" t="s">
        <v>73</v>
      </c>
      <c r="G140" s="156"/>
      <c r="H140" s="157"/>
      <c r="I140" s="158">
        <v>560000</v>
      </c>
      <c r="J140" s="159">
        <v>540000</v>
      </c>
      <c r="K140" s="158">
        <f>300000+820000</f>
        <v>1120000</v>
      </c>
      <c r="L140" s="159">
        <f>100000+200000+220000+445000+155000</f>
        <v>1120000</v>
      </c>
      <c r="M140" s="158">
        <v>1130000</v>
      </c>
      <c r="N140" s="159">
        <v>1130000</v>
      </c>
      <c r="O140" s="158">
        <v>550000</v>
      </c>
      <c r="P140" s="159">
        <v>550000</v>
      </c>
      <c r="Q140" s="165">
        <f t="shared" si="90"/>
        <v>-580000</v>
      </c>
      <c r="R140" s="166">
        <f t="shared" si="90"/>
        <v>-580000</v>
      </c>
      <c r="S140" s="156">
        <v>650000</v>
      </c>
      <c r="T140" s="160"/>
      <c r="U140" s="157">
        <f>+S140</f>
        <v>650000</v>
      </c>
      <c r="V140" s="161">
        <v>1000000</v>
      </c>
      <c r="W140" s="158">
        <f>V140</f>
        <v>1000000</v>
      </c>
      <c r="X140" s="160"/>
      <c r="Y140" s="160"/>
      <c r="Z140" s="160"/>
      <c r="AA140" s="160">
        <f>W140/2</f>
        <v>500000</v>
      </c>
      <c r="AB140" s="159">
        <f>W140/2</f>
        <v>500000</v>
      </c>
      <c r="AC140" s="158">
        <f t="shared" si="81"/>
        <v>0</v>
      </c>
      <c r="AD140" s="160"/>
      <c r="AE140" s="160"/>
      <c r="AF140" s="157"/>
      <c r="AG140" s="157"/>
      <c r="AH140" s="159"/>
      <c r="AI140" s="35">
        <f t="shared" si="82"/>
        <v>0</v>
      </c>
      <c r="AJ140" s="11">
        <f t="shared" si="83"/>
        <v>0</v>
      </c>
      <c r="AK140" s="11">
        <f t="shared" si="84"/>
        <v>0</v>
      </c>
      <c r="AL140" s="11">
        <f t="shared" si="85"/>
        <v>500000</v>
      </c>
      <c r="AM140" s="76">
        <f t="shared" si="86"/>
        <v>500000</v>
      </c>
      <c r="AN140" s="51">
        <f t="shared" si="87"/>
        <v>1000000</v>
      </c>
      <c r="AO140" s="36"/>
      <c r="AP140" s="9"/>
      <c r="AQ140" s="9"/>
      <c r="AR140" s="9"/>
      <c r="AS140" s="9"/>
      <c r="AT140" s="9"/>
      <c r="AU140" s="9"/>
      <c r="AV140" s="9">
        <f t="shared" si="88"/>
        <v>0</v>
      </c>
      <c r="AW140" s="10">
        <f t="shared" si="51"/>
        <v>0</v>
      </c>
      <c r="AY140" s="11">
        <f t="shared" si="79"/>
        <v>0</v>
      </c>
    </row>
    <row r="141" spans="5:51" ht="60" customHeight="1" x14ac:dyDescent="0.2">
      <c r="E141" s="151">
        <f t="shared" si="89"/>
        <v>30313</v>
      </c>
      <c r="F141" s="162" t="s">
        <v>74</v>
      </c>
      <c r="G141" s="156">
        <v>100000</v>
      </c>
      <c r="H141" s="157"/>
      <c r="I141" s="158">
        <v>50000</v>
      </c>
      <c r="J141" s="159">
        <f>I141</f>
        <v>50000</v>
      </c>
      <c r="K141" s="158">
        <v>50000</v>
      </c>
      <c r="L141" s="159">
        <v>30000</v>
      </c>
      <c r="M141" s="158">
        <v>110000</v>
      </c>
      <c r="N141" s="159">
        <v>80500</v>
      </c>
      <c r="O141" s="158">
        <v>100000</v>
      </c>
      <c r="P141" s="159"/>
      <c r="Q141" s="165">
        <f t="shared" si="90"/>
        <v>-10000</v>
      </c>
      <c r="R141" s="166">
        <f t="shared" si="90"/>
        <v>-80500</v>
      </c>
      <c r="S141" s="156"/>
      <c r="T141" s="160"/>
      <c r="U141" s="157">
        <f>+S141</f>
        <v>0</v>
      </c>
      <c r="V141" s="161">
        <v>100000</v>
      </c>
      <c r="W141" s="158">
        <v>100000</v>
      </c>
      <c r="X141" s="160"/>
      <c r="Y141" s="160">
        <f>W141</f>
        <v>100000</v>
      </c>
      <c r="Z141" s="160"/>
      <c r="AA141" s="160"/>
      <c r="AB141" s="159"/>
      <c r="AC141" s="158">
        <f t="shared" si="81"/>
        <v>0</v>
      </c>
      <c r="AD141" s="160"/>
      <c r="AE141" s="160"/>
      <c r="AF141" s="157"/>
      <c r="AG141" s="157"/>
      <c r="AH141" s="159"/>
      <c r="AI141" s="35">
        <f t="shared" si="82"/>
        <v>0</v>
      </c>
      <c r="AJ141" s="11">
        <f t="shared" si="83"/>
        <v>100000</v>
      </c>
      <c r="AK141" s="11">
        <f t="shared" si="84"/>
        <v>0</v>
      </c>
      <c r="AL141" s="11">
        <f t="shared" si="85"/>
        <v>0</v>
      </c>
      <c r="AM141" s="76">
        <f t="shared" si="86"/>
        <v>0</v>
      </c>
      <c r="AN141" s="51">
        <f t="shared" si="87"/>
        <v>100000</v>
      </c>
      <c r="AO141" s="36"/>
      <c r="AP141" s="9"/>
      <c r="AQ141" s="9"/>
      <c r="AR141" s="9"/>
      <c r="AS141" s="9"/>
      <c r="AT141" s="9"/>
      <c r="AU141" s="9"/>
      <c r="AV141" s="9">
        <f t="shared" si="88"/>
        <v>0</v>
      </c>
      <c r="AW141" s="10">
        <f t="shared" si="51"/>
        <v>0</v>
      </c>
      <c r="AY141" s="11">
        <f t="shared" si="79"/>
        <v>0</v>
      </c>
    </row>
    <row r="142" spans="5:51" ht="60" customHeight="1" x14ac:dyDescent="0.2">
      <c r="E142" s="151">
        <f t="shared" si="89"/>
        <v>30314</v>
      </c>
      <c r="F142" s="170" t="s">
        <v>75</v>
      </c>
      <c r="G142" s="156">
        <v>500000</v>
      </c>
      <c r="H142" s="157">
        <f>G142</f>
        <v>500000</v>
      </c>
      <c r="I142" s="158">
        <v>500000</v>
      </c>
      <c r="J142" s="159"/>
      <c r="K142" s="158">
        <v>500000</v>
      </c>
      <c r="L142" s="159">
        <v>500000</v>
      </c>
      <c r="M142" s="158">
        <v>1130000</v>
      </c>
      <c r="N142" s="159">
        <f>173200+500000+325000+130000</f>
        <v>1128200</v>
      </c>
      <c r="O142" s="158">
        <v>500000</v>
      </c>
      <c r="P142" s="159">
        <v>120500</v>
      </c>
      <c r="Q142" s="165">
        <f t="shared" si="90"/>
        <v>-630000</v>
      </c>
      <c r="R142" s="166">
        <f t="shared" si="90"/>
        <v>-1007700</v>
      </c>
      <c r="S142" s="156">
        <v>500000</v>
      </c>
      <c r="T142" s="160"/>
      <c r="U142" s="164">
        <f>+S142</f>
        <v>500000</v>
      </c>
      <c r="V142" s="161">
        <v>500000</v>
      </c>
      <c r="W142" s="158">
        <v>100000</v>
      </c>
      <c r="X142" s="160"/>
      <c r="Y142" s="160"/>
      <c r="Z142" s="160"/>
      <c r="AA142" s="160">
        <f>W142/2</f>
        <v>50000</v>
      </c>
      <c r="AB142" s="159">
        <f>W142/2</f>
        <v>50000</v>
      </c>
      <c r="AC142" s="158">
        <f t="shared" si="81"/>
        <v>400000</v>
      </c>
      <c r="AD142" s="160"/>
      <c r="AE142" s="160"/>
      <c r="AF142" s="157"/>
      <c r="AG142" s="157">
        <f>AC142/2</f>
        <v>200000</v>
      </c>
      <c r="AH142" s="159">
        <f>AC142/2</f>
        <v>200000</v>
      </c>
      <c r="AI142" s="35">
        <f t="shared" si="82"/>
        <v>0</v>
      </c>
      <c r="AJ142" s="11">
        <f t="shared" si="83"/>
        <v>0</v>
      </c>
      <c r="AK142" s="11">
        <f t="shared" si="84"/>
        <v>0</v>
      </c>
      <c r="AL142" s="11">
        <f t="shared" si="85"/>
        <v>250000</v>
      </c>
      <c r="AM142" s="76">
        <f t="shared" si="86"/>
        <v>250000</v>
      </c>
      <c r="AN142" s="51">
        <f t="shared" si="87"/>
        <v>500000</v>
      </c>
      <c r="AO142" s="36"/>
      <c r="AP142" s="9"/>
      <c r="AQ142" s="9"/>
      <c r="AR142" s="9"/>
      <c r="AS142" s="9"/>
      <c r="AT142" s="9"/>
      <c r="AU142" s="9"/>
      <c r="AV142" s="9">
        <f t="shared" si="88"/>
        <v>0</v>
      </c>
      <c r="AW142" s="10">
        <f t="shared" si="51"/>
        <v>0</v>
      </c>
      <c r="AY142" s="11">
        <f t="shared" si="79"/>
        <v>0</v>
      </c>
    </row>
    <row r="143" spans="5:51" ht="60" customHeight="1" x14ac:dyDescent="0.2">
      <c r="E143" s="151">
        <f t="shared" si="89"/>
        <v>30315</v>
      </c>
      <c r="F143" s="170" t="s">
        <v>284</v>
      </c>
      <c r="G143" s="156"/>
      <c r="H143" s="157"/>
      <c r="I143" s="158"/>
      <c r="J143" s="159"/>
      <c r="K143" s="158">
        <v>250000</v>
      </c>
      <c r="L143" s="159"/>
      <c r="M143" s="158">
        <v>150000</v>
      </c>
      <c r="N143" s="159">
        <v>150000</v>
      </c>
      <c r="O143" s="158">
        <v>250000</v>
      </c>
      <c r="P143" s="159"/>
      <c r="Q143" s="165">
        <f t="shared" si="90"/>
        <v>100000</v>
      </c>
      <c r="R143" s="166">
        <f t="shared" si="90"/>
        <v>-150000</v>
      </c>
      <c r="S143" s="156">
        <v>150000</v>
      </c>
      <c r="T143" s="160">
        <f>+S143</f>
        <v>150000</v>
      </c>
      <c r="U143" s="164"/>
      <c r="V143" s="161">
        <v>250000</v>
      </c>
      <c r="W143" s="158">
        <v>250000</v>
      </c>
      <c r="X143" s="160">
        <f>W143</f>
        <v>250000</v>
      </c>
      <c r="Y143" s="160"/>
      <c r="Z143" s="160"/>
      <c r="AA143" s="160"/>
      <c r="AB143" s="159"/>
      <c r="AC143" s="158">
        <f t="shared" si="81"/>
        <v>0</v>
      </c>
      <c r="AD143" s="160"/>
      <c r="AE143" s="160"/>
      <c r="AF143" s="157"/>
      <c r="AG143" s="157"/>
      <c r="AH143" s="159"/>
      <c r="AI143" s="35">
        <f t="shared" si="82"/>
        <v>250000</v>
      </c>
      <c r="AJ143" s="11">
        <f t="shared" si="83"/>
        <v>0</v>
      </c>
      <c r="AK143" s="11">
        <f t="shared" si="84"/>
        <v>0</v>
      </c>
      <c r="AL143" s="11">
        <f t="shared" si="85"/>
        <v>0</v>
      </c>
      <c r="AM143" s="76">
        <f t="shared" si="86"/>
        <v>0</v>
      </c>
      <c r="AN143" s="51">
        <f t="shared" si="87"/>
        <v>0</v>
      </c>
      <c r="AO143" s="36"/>
      <c r="AP143" s="9"/>
      <c r="AQ143" s="9"/>
      <c r="AR143" s="9"/>
      <c r="AS143" s="9"/>
      <c r="AT143" s="9"/>
      <c r="AU143" s="9"/>
      <c r="AV143" s="9">
        <f t="shared" si="88"/>
        <v>0</v>
      </c>
      <c r="AW143" s="10"/>
      <c r="AY143" s="11">
        <f t="shared" si="79"/>
        <v>0</v>
      </c>
    </row>
    <row r="144" spans="5:51" ht="60" customHeight="1" x14ac:dyDescent="0.2">
      <c r="E144" s="151">
        <f t="shared" si="89"/>
        <v>30316</v>
      </c>
      <c r="F144" s="170" t="s">
        <v>536</v>
      </c>
      <c r="G144" s="156"/>
      <c r="H144" s="157"/>
      <c r="I144" s="158"/>
      <c r="J144" s="159"/>
      <c r="K144" s="158"/>
      <c r="L144" s="159"/>
      <c r="M144" s="158"/>
      <c r="N144" s="159"/>
      <c r="O144" s="158">
        <v>1800000</v>
      </c>
      <c r="P144" s="159"/>
      <c r="Q144" s="165">
        <f t="shared" si="90"/>
        <v>1800000</v>
      </c>
      <c r="R144" s="166">
        <f t="shared" si="90"/>
        <v>0</v>
      </c>
      <c r="S144" s="156"/>
      <c r="T144" s="160"/>
      <c r="U144" s="164"/>
      <c r="V144" s="161">
        <v>2400000</v>
      </c>
      <c r="W144" s="158">
        <f>V144</f>
        <v>2400000</v>
      </c>
      <c r="X144" s="160">
        <v>1200000</v>
      </c>
      <c r="Y144" s="160">
        <f>W144-X144</f>
        <v>1200000</v>
      </c>
      <c r="Z144" s="160"/>
      <c r="AA144" s="160"/>
      <c r="AB144" s="159"/>
      <c r="AC144" s="158">
        <f t="shared" si="81"/>
        <v>0</v>
      </c>
      <c r="AD144" s="160"/>
      <c r="AE144" s="160"/>
      <c r="AF144" s="157"/>
      <c r="AG144" s="157"/>
      <c r="AH144" s="159"/>
      <c r="AI144" s="35">
        <f t="shared" si="82"/>
        <v>1200000</v>
      </c>
      <c r="AJ144" s="11">
        <f t="shared" si="83"/>
        <v>1200000</v>
      </c>
      <c r="AK144" s="11">
        <f t="shared" si="84"/>
        <v>0</v>
      </c>
      <c r="AL144" s="11">
        <f t="shared" si="85"/>
        <v>0</v>
      </c>
      <c r="AM144" s="76">
        <f t="shared" si="86"/>
        <v>0</v>
      </c>
      <c r="AN144" s="51"/>
      <c r="AO144" s="36"/>
      <c r="AP144" s="9"/>
      <c r="AQ144" s="9"/>
      <c r="AR144" s="9"/>
      <c r="AS144" s="9"/>
      <c r="AT144" s="9"/>
      <c r="AU144" s="9"/>
      <c r="AV144" s="9"/>
      <c r="AW144" s="10"/>
      <c r="AY144" s="11"/>
    </row>
    <row r="145" spans="5:51" ht="60" customHeight="1" x14ac:dyDescent="0.2">
      <c r="E145" s="149"/>
      <c r="F145" s="127" t="s">
        <v>76</v>
      </c>
      <c r="G145" s="118">
        <f t="shared" ref="G145:AV145" si="92">SUM(G129:G144)</f>
        <v>11653000</v>
      </c>
      <c r="H145" s="116">
        <f t="shared" si="92"/>
        <v>10453000</v>
      </c>
      <c r="I145" s="115">
        <f t="shared" si="92"/>
        <v>11065000</v>
      </c>
      <c r="J145" s="117">
        <f t="shared" si="92"/>
        <v>9945000</v>
      </c>
      <c r="K145" s="115">
        <f t="shared" si="92"/>
        <v>13753750</v>
      </c>
      <c r="L145" s="117">
        <f t="shared" si="92"/>
        <v>12783510</v>
      </c>
      <c r="M145" s="115">
        <f t="shared" si="92"/>
        <v>17640000</v>
      </c>
      <c r="N145" s="117">
        <f t="shared" si="92"/>
        <v>17130386</v>
      </c>
      <c r="O145" s="115">
        <f t="shared" si="92"/>
        <v>35600000</v>
      </c>
      <c r="P145" s="117">
        <f t="shared" si="92"/>
        <v>32645500</v>
      </c>
      <c r="Q145" s="115">
        <f t="shared" si="92"/>
        <v>17960000</v>
      </c>
      <c r="R145" s="117">
        <f t="shared" si="92"/>
        <v>15515114</v>
      </c>
      <c r="S145" s="118">
        <f t="shared" si="92"/>
        <v>9010000</v>
      </c>
      <c r="T145" s="120">
        <f t="shared" si="92"/>
        <v>650000</v>
      </c>
      <c r="U145" s="116">
        <f t="shared" si="92"/>
        <v>8360000</v>
      </c>
      <c r="V145" s="119">
        <f t="shared" si="92"/>
        <v>20550000</v>
      </c>
      <c r="W145" s="115">
        <f t="shared" si="92"/>
        <v>16050000</v>
      </c>
      <c r="X145" s="120">
        <f t="shared" si="92"/>
        <v>2950000</v>
      </c>
      <c r="Y145" s="120">
        <f t="shared" si="92"/>
        <v>1300000</v>
      </c>
      <c r="Z145" s="120">
        <f t="shared" si="92"/>
        <v>0</v>
      </c>
      <c r="AA145" s="120">
        <f t="shared" si="92"/>
        <v>6975000</v>
      </c>
      <c r="AB145" s="117">
        <f t="shared" si="92"/>
        <v>4825000</v>
      </c>
      <c r="AC145" s="115">
        <f t="shared" si="92"/>
        <v>4500000</v>
      </c>
      <c r="AD145" s="120">
        <f t="shared" si="92"/>
        <v>0</v>
      </c>
      <c r="AE145" s="120">
        <f t="shared" si="92"/>
        <v>0</v>
      </c>
      <c r="AF145" s="116">
        <f t="shared" si="92"/>
        <v>0</v>
      </c>
      <c r="AG145" s="116">
        <f t="shared" si="92"/>
        <v>2725000</v>
      </c>
      <c r="AH145" s="117">
        <f t="shared" si="92"/>
        <v>1775000</v>
      </c>
      <c r="AI145" s="47">
        <f t="shared" si="92"/>
        <v>2950000</v>
      </c>
      <c r="AJ145" s="10">
        <f t="shared" si="92"/>
        <v>1300000</v>
      </c>
      <c r="AK145" s="10">
        <f t="shared" si="92"/>
        <v>0</v>
      </c>
      <c r="AL145" s="10">
        <f t="shared" si="92"/>
        <v>9700000</v>
      </c>
      <c r="AM145" s="48">
        <f t="shared" si="92"/>
        <v>6600000</v>
      </c>
      <c r="AN145" s="52">
        <f t="shared" si="92"/>
        <v>16400000</v>
      </c>
      <c r="AO145" s="39">
        <f t="shared" si="92"/>
        <v>0</v>
      </c>
      <c r="AP145" s="10">
        <f t="shared" si="92"/>
        <v>0</v>
      </c>
      <c r="AQ145" s="10">
        <f t="shared" si="92"/>
        <v>0</v>
      </c>
      <c r="AR145" s="10">
        <f t="shared" si="92"/>
        <v>0</v>
      </c>
      <c r="AS145" s="10">
        <f t="shared" si="92"/>
        <v>0</v>
      </c>
      <c r="AT145" s="10">
        <f t="shared" si="92"/>
        <v>0</v>
      </c>
      <c r="AU145" s="10">
        <f t="shared" si="92"/>
        <v>0</v>
      </c>
      <c r="AV145" s="10">
        <f t="shared" si="92"/>
        <v>0</v>
      </c>
      <c r="AW145" s="10">
        <f t="shared" si="51"/>
        <v>0</v>
      </c>
      <c r="AY145" s="11">
        <f t="shared" ref="AY145:AY186" si="93">V145-W145-AC145</f>
        <v>0</v>
      </c>
    </row>
    <row r="146" spans="5:51" ht="60" customHeight="1" x14ac:dyDescent="0.2">
      <c r="E146" s="151">
        <v>30400</v>
      </c>
      <c r="F146" s="155" t="s">
        <v>77</v>
      </c>
      <c r="G146" s="156"/>
      <c r="H146" s="157"/>
      <c r="I146" s="158"/>
      <c r="J146" s="159"/>
      <c r="K146" s="158"/>
      <c r="L146" s="159"/>
      <c r="M146" s="158"/>
      <c r="N146" s="159"/>
      <c r="O146" s="158"/>
      <c r="P146" s="159"/>
      <c r="Q146" s="158"/>
      <c r="R146" s="159"/>
      <c r="S146" s="156"/>
      <c r="T146" s="160"/>
      <c r="U146" s="157"/>
      <c r="V146" s="161"/>
      <c r="W146" s="158"/>
      <c r="X146" s="160"/>
      <c r="Y146" s="160"/>
      <c r="Z146" s="160"/>
      <c r="AA146" s="160"/>
      <c r="AB146" s="159"/>
      <c r="AC146" s="158"/>
      <c r="AD146" s="160"/>
      <c r="AE146" s="160"/>
      <c r="AF146" s="157"/>
      <c r="AG146" s="157"/>
      <c r="AH146" s="159"/>
      <c r="AI146" s="45"/>
      <c r="AJ146" s="9"/>
      <c r="AK146" s="9"/>
      <c r="AL146" s="9"/>
      <c r="AM146" s="46"/>
      <c r="AN146" s="50"/>
      <c r="AO146" s="36"/>
      <c r="AP146" s="9"/>
      <c r="AQ146" s="9"/>
      <c r="AR146" s="9"/>
      <c r="AS146" s="9"/>
      <c r="AT146" s="9"/>
      <c r="AU146" s="9"/>
      <c r="AV146" s="9"/>
      <c r="AW146" s="10">
        <f t="shared" si="51"/>
        <v>0</v>
      </c>
      <c r="AY146" s="11">
        <f t="shared" si="93"/>
        <v>0</v>
      </c>
    </row>
    <row r="147" spans="5:51" ht="60" customHeight="1" x14ac:dyDescent="0.2">
      <c r="E147" s="151">
        <f>E146+1</f>
        <v>30401</v>
      </c>
      <c r="F147" s="170" t="s">
        <v>290</v>
      </c>
      <c r="G147" s="156"/>
      <c r="H147" s="157"/>
      <c r="I147" s="158"/>
      <c r="J147" s="159"/>
      <c r="K147" s="158">
        <f>150000+520000</f>
        <v>670000</v>
      </c>
      <c r="L147" s="159">
        <v>670000</v>
      </c>
      <c r="M147" s="158"/>
      <c r="N147" s="159"/>
      <c r="O147" s="158">
        <v>800000</v>
      </c>
      <c r="P147" s="159">
        <v>800000</v>
      </c>
      <c r="Q147" s="165">
        <f t="shared" ref="Q147:R153" si="94">O147-M147</f>
        <v>800000</v>
      </c>
      <c r="R147" s="166">
        <f t="shared" si="94"/>
        <v>800000</v>
      </c>
      <c r="S147" s="156">
        <v>10000</v>
      </c>
      <c r="T147" s="160"/>
      <c r="U147" s="157">
        <f>+S147</f>
        <v>10000</v>
      </c>
      <c r="V147" s="161">
        <v>1000000</v>
      </c>
      <c r="W147" s="158">
        <v>500000</v>
      </c>
      <c r="X147" s="160"/>
      <c r="Y147" s="160"/>
      <c r="Z147" s="160"/>
      <c r="AA147" s="160">
        <f>W147</f>
        <v>500000</v>
      </c>
      <c r="AB147" s="159"/>
      <c r="AC147" s="158">
        <f t="shared" ref="AC147:AC153" si="95">V147-W147</f>
        <v>500000</v>
      </c>
      <c r="AD147" s="160"/>
      <c r="AE147" s="160"/>
      <c r="AF147" s="157"/>
      <c r="AG147" s="157">
        <f>AC147</f>
        <v>500000</v>
      </c>
      <c r="AH147" s="159"/>
      <c r="AI147" s="35">
        <f t="shared" ref="AI147:AI153" si="96">AD147+X147</f>
        <v>0</v>
      </c>
      <c r="AJ147" s="11">
        <f t="shared" ref="AJ147:AJ153" si="97">AE147+Y147</f>
        <v>0</v>
      </c>
      <c r="AK147" s="11">
        <f t="shared" ref="AK147:AK153" si="98">AF147+Z147</f>
        <v>0</v>
      </c>
      <c r="AL147" s="11">
        <f t="shared" ref="AL147:AL153" si="99">AG147+AA147</f>
        <v>1000000</v>
      </c>
      <c r="AM147" s="76">
        <f t="shared" ref="AM147:AM153" si="100">AH147+AB147</f>
        <v>0</v>
      </c>
      <c r="AN147" s="51">
        <f t="shared" ref="AN147:AN153" si="101">SUM(AJ147:AM147)</f>
        <v>1000000</v>
      </c>
      <c r="AO147" s="36"/>
      <c r="AP147" s="9"/>
      <c r="AQ147" s="9"/>
      <c r="AR147" s="9"/>
      <c r="AS147" s="9"/>
      <c r="AT147" s="9"/>
      <c r="AU147" s="9"/>
      <c r="AV147" s="9">
        <f t="shared" ref="AV147:AV152" si="102">AU147+AT147+AS147+AR147</f>
        <v>0</v>
      </c>
      <c r="AW147" s="10">
        <f t="shared" si="51"/>
        <v>0</v>
      </c>
      <c r="AY147" s="11">
        <f t="shared" si="93"/>
        <v>0</v>
      </c>
    </row>
    <row r="148" spans="5:51" ht="60" customHeight="1" x14ac:dyDescent="0.2">
      <c r="E148" s="151">
        <f t="shared" ref="E148:E153" si="103">+E147+1</f>
        <v>30402</v>
      </c>
      <c r="F148" s="170" t="s">
        <v>78</v>
      </c>
      <c r="G148" s="156">
        <v>90000</v>
      </c>
      <c r="H148" s="157">
        <v>90000</v>
      </c>
      <c r="I148" s="158">
        <v>150000</v>
      </c>
      <c r="J148" s="159">
        <f>I148</f>
        <v>150000</v>
      </c>
      <c r="K148" s="158">
        <v>100000</v>
      </c>
      <c r="L148" s="159">
        <v>100000</v>
      </c>
      <c r="M148" s="158">
        <v>150000</v>
      </c>
      <c r="N148" s="159">
        <v>150000</v>
      </c>
      <c r="O148" s="158">
        <v>200000</v>
      </c>
      <c r="P148" s="159">
        <v>200000</v>
      </c>
      <c r="Q148" s="165">
        <f t="shared" si="94"/>
        <v>50000</v>
      </c>
      <c r="R148" s="166">
        <f t="shared" si="94"/>
        <v>50000</v>
      </c>
      <c r="S148" s="156">
        <v>100000</v>
      </c>
      <c r="T148" s="160"/>
      <c r="U148" s="157">
        <f>+S148</f>
        <v>100000</v>
      </c>
      <c r="V148" s="161">
        <v>200000</v>
      </c>
      <c r="W148" s="158">
        <v>100000</v>
      </c>
      <c r="X148" s="160"/>
      <c r="Y148" s="160"/>
      <c r="Z148" s="160"/>
      <c r="AA148" s="160">
        <f>W148</f>
        <v>100000</v>
      </c>
      <c r="AB148" s="159"/>
      <c r="AC148" s="158">
        <f t="shared" si="95"/>
        <v>100000</v>
      </c>
      <c r="AD148" s="160"/>
      <c r="AE148" s="160"/>
      <c r="AF148" s="157"/>
      <c r="AG148" s="157">
        <f>AC148</f>
        <v>100000</v>
      </c>
      <c r="AH148" s="159"/>
      <c r="AI148" s="35">
        <f t="shared" si="96"/>
        <v>0</v>
      </c>
      <c r="AJ148" s="11">
        <f t="shared" si="97"/>
        <v>0</v>
      </c>
      <c r="AK148" s="11">
        <f t="shared" si="98"/>
        <v>0</v>
      </c>
      <c r="AL148" s="11">
        <f t="shared" si="99"/>
        <v>200000</v>
      </c>
      <c r="AM148" s="76">
        <f t="shared" si="100"/>
        <v>0</v>
      </c>
      <c r="AN148" s="51">
        <f t="shared" si="101"/>
        <v>200000</v>
      </c>
      <c r="AO148" s="36"/>
      <c r="AP148" s="9"/>
      <c r="AQ148" s="9"/>
      <c r="AR148" s="9"/>
      <c r="AS148" s="9"/>
      <c r="AT148" s="9"/>
      <c r="AU148" s="9"/>
      <c r="AV148" s="9">
        <f t="shared" si="102"/>
        <v>0</v>
      </c>
      <c r="AW148" s="10">
        <f t="shared" si="51"/>
        <v>0</v>
      </c>
      <c r="AY148" s="11">
        <f t="shared" si="93"/>
        <v>0</v>
      </c>
    </row>
    <row r="149" spans="5:51" ht="60" customHeight="1" x14ac:dyDescent="0.2">
      <c r="E149" s="151">
        <f t="shared" si="103"/>
        <v>30403</v>
      </c>
      <c r="F149" s="170" t="s">
        <v>79</v>
      </c>
      <c r="G149" s="156">
        <v>200000</v>
      </c>
      <c r="H149" s="157">
        <v>200000</v>
      </c>
      <c r="I149" s="158">
        <v>200000</v>
      </c>
      <c r="J149" s="159">
        <f>I149</f>
        <v>200000</v>
      </c>
      <c r="K149" s="158">
        <v>200000</v>
      </c>
      <c r="L149" s="159">
        <v>50000</v>
      </c>
      <c r="M149" s="158">
        <v>200000</v>
      </c>
      <c r="N149" s="159"/>
      <c r="O149" s="158">
        <v>450000</v>
      </c>
      <c r="P149" s="159">
        <f>105000+220000</f>
        <v>325000</v>
      </c>
      <c r="Q149" s="165">
        <f t="shared" si="94"/>
        <v>250000</v>
      </c>
      <c r="R149" s="166">
        <f t="shared" si="94"/>
        <v>325000</v>
      </c>
      <c r="S149" s="156"/>
      <c r="T149" s="160"/>
      <c r="U149" s="157"/>
      <c r="V149" s="161">
        <v>500000</v>
      </c>
      <c r="W149" s="158">
        <v>200000</v>
      </c>
      <c r="X149" s="160">
        <v>0</v>
      </c>
      <c r="Y149" s="160"/>
      <c r="Z149" s="160"/>
      <c r="AA149" s="160">
        <f>W149</f>
        <v>200000</v>
      </c>
      <c r="AB149" s="159"/>
      <c r="AC149" s="158">
        <f t="shared" si="95"/>
        <v>300000</v>
      </c>
      <c r="AD149" s="160"/>
      <c r="AE149" s="160"/>
      <c r="AF149" s="157"/>
      <c r="AG149" s="157">
        <f>AC149</f>
        <v>300000</v>
      </c>
      <c r="AH149" s="159"/>
      <c r="AI149" s="35">
        <f t="shared" si="96"/>
        <v>0</v>
      </c>
      <c r="AJ149" s="11">
        <f t="shared" si="97"/>
        <v>0</v>
      </c>
      <c r="AK149" s="11">
        <f t="shared" si="98"/>
        <v>0</v>
      </c>
      <c r="AL149" s="11">
        <f t="shared" si="99"/>
        <v>500000</v>
      </c>
      <c r="AM149" s="76">
        <f t="shared" si="100"/>
        <v>0</v>
      </c>
      <c r="AN149" s="51">
        <f t="shared" si="101"/>
        <v>500000</v>
      </c>
      <c r="AO149" s="40"/>
      <c r="AP149" s="9"/>
      <c r="AQ149" s="13"/>
      <c r="AR149" s="13"/>
      <c r="AS149" s="13"/>
      <c r="AT149" s="13"/>
      <c r="AU149" s="13"/>
      <c r="AV149" s="9">
        <f t="shared" si="102"/>
        <v>0</v>
      </c>
      <c r="AW149" s="10">
        <f t="shared" si="51"/>
        <v>0</v>
      </c>
      <c r="AY149" s="11">
        <f t="shared" si="93"/>
        <v>0</v>
      </c>
    </row>
    <row r="150" spans="5:51" ht="60" customHeight="1" x14ac:dyDescent="0.2">
      <c r="E150" s="151">
        <f t="shared" si="103"/>
        <v>30404</v>
      </c>
      <c r="F150" s="170" t="s">
        <v>80</v>
      </c>
      <c r="G150" s="156">
        <v>500000</v>
      </c>
      <c r="H150" s="157">
        <f>G150</f>
        <v>500000</v>
      </c>
      <c r="I150" s="158">
        <v>500000</v>
      </c>
      <c r="J150" s="159">
        <f>I150</f>
        <v>500000</v>
      </c>
      <c r="K150" s="158">
        <v>580000</v>
      </c>
      <c r="L150" s="159">
        <v>580000</v>
      </c>
      <c r="M150" s="158">
        <v>600000</v>
      </c>
      <c r="N150" s="159">
        <v>600000</v>
      </c>
      <c r="O150" s="158">
        <v>600000</v>
      </c>
      <c r="P150" s="159">
        <v>600000</v>
      </c>
      <c r="Q150" s="165">
        <f t="shared" si="94"/>
        <v>0</v>
      </c>
      <c r="R150" s="166">
        <f t="shared" si="94"/>
        <v>0</v>
      </c>
      <c r="S150" s="156">
        <v>440000</v>
      </c>
      <c r="T150" s="160"/>
      <c r="U150" s="157">
        <f>+S150</f>
        <v>440000</v>
      </c>
      <c r="V150" s="161">
        <v>700000</v>
      </c>
      <c r="W150" s="158">
        <v>600000</v>
      </c>
      <c r="X150" s="160"/>
      <c r="Y150" s="160"/>
      <c r="Z150" s="160"/>
      <c r="AA150" s="160">
        <f>W150</f>
        <v>600000</v>
      </c>
      <c r="AB150" s="159"/>
      <c r="AC150" s="158">
        <f t="shared" si="95"/>
        <v>100000</v>
      </c>
      <c r="AD150" s="160"/>
      <c r="AE150" s="160"/>
      <c r="AF150" s="157"/>
      <c r="AG150" s="157">
        <f>AC150</f>
        <v>100000</v>
      </c>
      <c r="AH150" s="159"/>
      <c r="AI150" s="35">
        <f t="shared" si="96"/>
        <v>0</v>
      </c>
      <c r="AJ150" s="11">
        <f t="shared" si="97"/>
        <v>0</v>
      </c>
      <c r="AK150" s="11">
        <f t="shared" si="98"/>
        <v>0</v>
      </c>
      <c r="AL150" s="11">
        <f t="shared" si="99"/>
        <v>700000</v>
      </c>
      <c r="AM150" s="76">
        <f t="shared" si="100"/>
        <v>0</v>
      </c>
      <c r="AN150" s="51">
        <f t="shared" si="101"/>
        <v>700000</v>
      </c>
      <c r="AO150" s="36"/>
      <c r="AP150" s="9"/>
      <c r="AQ150" s="9"/>
      <c r="AR150" s="9"/>
      <c r="AS150" s="9"/>
      <c r="AT150" s="9"/>
      <c r="AU150" s="9"/>
      <c r="AV150" s="9">
        <f t="shared" si="102"/>
        <v>0</v>
      </c>
      <c r="AW150" s="10">
        <f>AP150-AQ150-AV150</f>
        <v>0</v>
      </c>
      <c r="AY150" s="11">
        <f t="shared" si="93"/>
        <v>0</v>
      </c>
    </row>
    <row r="151" spans="5:51" ht="60" customHeight="1" x14ac:dyDescent="0.2">
      <c r="E151" s="151">
        <f t="shared" si="103"/>
        <v>30405</v>
      </c>
      <c r="F151" s="170" t="s">
        <v>513</v>
      </c>
      <c r="G151" s="156">
        <v>1500000</v>
      </c>
      <c r="H151" s="157">
        <v>845000</v>
      </c>
      <c r="I151" s="158">
        <v>900000</v>
      </c>
      <c r="J151" s="159">
        <f>I151</f>
        <v>900000</v>
      </c>
      <c r="K151" s="158">
        <v>500000</v>
      </c>
      <c r="L151" s="159">
        <f>250000+145000</f>
        <v>395000</v>
      </c>
      <c r="M151" s="158">
        <v>700000</v>
      </c>
      <c r="N151" s="159">
        <v>700000</v>
      </c>
      <c r="O151" s="158">
        <v>700000</v>
      </c>
      <c r="P151" s="159">
        <v>700000</v>
      </c>
      <c r="Q151" s="165">
        <f t="shared" si="94"/>
        <v>0</v>
      </c>
      <c r="R151" s="166">
        <f t="shared" si="94"/>
        <v>0</v>
      </c>
      <c r="S151" s="156">
        <v>250000</v>
      </c>
      <c r="T151" s="160"/>
      <c r="U151" s="157">
        <f>+S151</f>
        <v>250000</v>
      </c>
      <c r="V151" s="161">
        <v>700000</v>
      </c>
      <c r="W151" s="158">
        <v>700000</v>
      </c>
      <c r="X151" s="160">
        <v>234000</v>
      </c>
      <c r="Y151" s="160"/>
      <c r="Z151" s="160"/>
      <c r="AA151" s="160">
        <f>W151-X151</f>
        <v>466000</v>
      </c>
      <c r="AB151" s="159"/>
      <c r="AC151" s="158">
        <f t="shared" si="95"/>
        <v>0</v>
      </c>
      <c r="AD151" s="160"/>
      <c r="AE151" s="160"/>
      <c r="AF151" s="157"/>
      <c r="AG151" s="157"/>
      <c r="AH151" s="159"/>
      <c r="AI151" s="35">
        <f t="shared" si="96"/>
        <v>234000</v>
      </c>
      <c r="AJ151" s="11">
        <f t="shared" si="97"/>
        <v>0</v>
      </c>
      <c r="AK151" s="11">
        <f t="shared" si="98"/>
        <v>0</v>
      </c>
      <c r="AL151" s="11">
        <f t="shared" si="99"/>
        <v>466000</v>
      </c>
      <c r="AM151" s="76">
        <f t="shared" si="100"/>
        <v>0</v>
      </c>
      <c r="AN151" s="51">
        <f t="shared" si="101"/>
        <v>466000</v>
      </c>
      <c r="AO151" s="36"/>
      <c r="AP151" s="9"/>
      <c r="AQ151" s="9"/>
      <c r="AR151" s="9"/>
      <c r="AS151" s="9"/>
      <c r="AT151" s="9"/>
      <c r="AU151" s="9"/>
      <c r="AV151" s="9">
        <f t="shared" si="102"/>
        <v>0</v>
      </c>
      <c r="AW151" s="10">
        <f>AP151-AQ151-AV151</f>
        <v>0</v>
      </c>
      <c r="AY151" s="11">
        <f t="shared" si="93"/>
        <v>0</v>
      </c>
    </row>
    <row r="152" spans="5:51" ht="60" customHeight="1" x14ac:dyDescent="0.2">
      <c r="E152" s="151">
        <f t="shared" si="103"/>
        <v>30406</v>
      </c>
      <c r="F152" s="170" t="s">
        <v>272</v>
      </c>
      <c r="G152" s="156">
        <v>100000</v>
      </c>
      <c r="H152" s="157">
        <f>G152</f>
        <v>100000</v>
      </c>
      <c r="I152" s="158">
        <v>150000</v>
      </c>
      <c r="J152" s="159">
        <v>150000</v>
      </c>
      <c r="K152" s="158">
        <f>150000+40000</f>
        <v>190000</v>
      </c>
      <c r="L152" s="159">
        <f>45000+61000+44000+40000</f>
        <v>190000</v>
      </c>
      <c r="M152" s="158">
        <v>200000</v>
      </c>
      <c r="N152" s="159">
        <v>200000</v>
      </c>
      <c r="O152" s="158">
        <v>300000</v>
      </c>
      <c r="P152" s="159">
        <v>300000</v>
      </c>
      <c r="Q152" s="165">
        <f t="shared" si="94"/>
        <v>100000</v>
      </c>
      <c r="R152" s="166">
        <f t="shared" si="94"/>
        <v>100000</v>
      </c>
      <c r="S152" s="156">
        <v>200000</v>
      </c>
      <c r="T152" s="160"/>
      <c r="U152" s="157">
        <f>+S152</f>
        <v>200000</v>
      </c>
      <c r="V152" s="161">
        <v>250000</v>
      </c>
      <c r="W152" s="158">
        <v>250000</v>
      </c>
      <c r="X152" s="160"/>
      <c r="Y152" s="160"/>
      <c r="Z152" s="160"/>
      <c r="AA152" s="160">
        <f>W152</f>
        <v>250000</v>
      </c>
      <c r="AB152" s="159"/>
      <c r="AC152" s="158">
        <f t="shared" si="95"/>
        <v>0</v>
      </c>
      <c r="AD152" s="160"/>
      <c r="AE152" s="160"/>
      <c r="AF152" s="157"/>
      <c r="AG152" s="157"/>
      <c r="AH152" s="159"/>
      <c r="AI152" s="35">
        <f t="shared" si="96"/>
        <v>0</v>
      </c>
      <c r="AJ152" s="11">
        <f t="shared" si="97"/>
        <v>0</v>
      </c>
      <c r="AK152" s="11">
        <f t="shared" si="98"/>
        <v>0</v>
      </c>
      <c r="AL152" s="11">
        <f t="shared" si="99"/>
        <v>250000</v>
      </c>
      <c r="AM152" s="76">
        <f t="shared" si="100"/>
        <v>0</v>
      </c>
      <c r="AN152" s="51">
        <f t="shared" si="101"/>
        <v>250000</v>
      </c>
      <c r="AO152" s="36"/>
      <c r="AP152" s="9"/>
      <c r="AQ152" s="9"/>
      <c r="AR152" s="9"/>
      <c r="AS152" s="9"/>
      <c r="AT152" s="9"/>
      <c r="AU152" s="9"/>
      <c r="AV152" s="9">
        <f t="shared" si="102"/>
        <v>0</v>
      </c>
      <c r="AW152" s="10">
        <f>AP152-AQ152-AV152</f>
        <v>0</v>
      </c>
      <c r="AY152" s="11">
        <f t="shared" si="93"/>
        <v>0</v>
      </c>
    </row>
    <row r="153" spans="5:51" ht="60" customHeight="1" x14ac:dyDescent="0.2">
      <c r="E153" s="151">
        <f t="shared" si="103"/>
        <v>30407</v>
      </c>
      <c r="F153" s="170" t="s">
        <v>381</v>
      </c>
      <c r="G153" s="156"/>
      <c r="H153" s="157"/>
      <c r="I153" s="158"/>
      <c r="J153" s="159"/>
      <c r="K153" s="158"/>
      <c r="L153" s="159"/>
      <c r="M153" s="158"/>
      <c r="N153" s="159"/>
      <c r="O153" s="158">
        <v>180000</v>
      </c>
      <c r="P153" s="159"/>
      <c r="Q153" s="165">
        <f t="shared" si="94"/>
        <v>180000</v>
      </c>
      <c r="R153" s="166">
        <f t="shared" si="94"/>
        <v>0</v>
      </c>
      <c r="S153" s="156"/>
      <c r="T153" s="160"/>
      <c r="U153" s="157"/>
      <c r="V153" s="161">
        <v>180000</v>
      </c>
      <c r="W153" s="158">
        <v>0</v>
      </c>
      <c r="X153" s="160"/>
      <c r="Y153" s="160">
        <f>W153</f>
        <v>0</v>
      </c>
      <c r="Z153" s="160"/>
      <c r="AA153" s="160"/>
      <c r="AB153" s="159"/>
      <c r="AC153" s="158">
        <f t="shared" si="95"/>
        <v>180000</v>
      </c>
      <c r="AD153" s="160"/>
      <c r="AE153" s="160"/>
      <c r="AF153" s="157"/>
      <c r="AG153" s="157">
        <f>AC153</f>
        <v>180000</v>
      </c>
      <c r="AH153" s="159"/>
      <c r="AI153" s="35">
        <f t="shared" si="96"/>
        <v>0</v>
      </c>
      <c r="AJ153" s="11">
        <f t="shared" si="97"/>
        <v>0</v>
      </c>
      <c r="AK153" s="11">
        <f t="shared" si="98"/>
        <v>0</v>
      </c>
      <c r="AL153" s="11">
        <f t="shared" si="99"/>
        <v>180000</v>
      </c>
      <c r="AM153" s="76">
        <f t="shared" si="100"/>
        <v>0</v>
      </c>
      <c r="AN153" s="51">
        <f t="shared" si="101"/>
        <v>180000</v>
      </c>
      <c r="AO153" s="36"/>
      <c r="AP153" s="9"/>
      <c r="AQ153" s="9"/>
      <c r="AR153" s="9"/>
      <c r="AS153" s="9"/>
      <c r="AT153" s="9"/>
      <c r="AU153" s="9"/>
      <c r="AV153" s="9"/>
      <c r="AW153" s="10"/>
      <c r="AY153" s="11">
        <f t="shared" si="93"/>
        <v>0</v>
      </c>
    </row>
    <row r="154" spans="5:51" ht="60" customHeight="1" x14ac:dyDescent="0.2">
      <c r="E154" s="149"/>
      <c r="F154" s="127" t="s">
        <v>81</v>
      </c>
      <c r="G154" s="118">
        <f t="shared" ref="G154:AV154" si="104">SUM(G147:G153)</f>
        <v>2390000</v>
      </c>
      <c r="H154" s="116">
        <f t="shared" si="104"/>
        <v>1735000</v>
      </c>
      <c r="I154" s="115">
        <f t="shared" si="104"/>
        <v>1900000</v>
      </c>
      <c r="J154" s="117">
        <f t="shared" si="104"/>
        <v>1900000</v>
      </c>
      <c r="K154" s="115">
        <f t="shared" si="104"/>
        <v>2240000</v>
      </c>
      <c r="L154" s="117">
        <f t="shared" si="104"/>
        <v>1985000</v>
      </c>
      <c r="M154" s="115">
        <f t="shared" si="104"/>
        <v>1850000</v>
      </c>
      <c r="N154" s="117">
        <f t="shared" si="104"/>
        <v>1650000</v>
      </c>
      <c r="O154" s="115">
        <f t="shared" si="104"/>
        <v>3230000</v>
      </c>
      <c r="P154" s="117">
        <f t="shared" si="104"/>
        <v>2925000</v>
      </c>
      <c r="Q154" s="115">
        <f t="shared" si="104"/>
        <v>1380000</v>
      </c>
      <c r="R154" s="117">
        <f t="shared" si="104"/>
        <v>1275000</v>
      </c>
      <c r="S154" s="118">
        <f t="shared" si="104"/>
        <v>1000000</v>
      </c>
      <c r="T154" s="120">
        <f t="shared" si="104"/>
        <v>0</v>
      </c>
      <c r="U154" s="116">
        <f t="shared" si="104"/>
        <v>1000000</v>
      </c>
      <c r="V154" s="119">
        <f t="shared" si="104"/>
        <v>3530000</v>
      </c>
      <c r="W154" s="115">
        <f t="shared" si="104"/>
        <v>2350000</v>
      </c>
      <c r="X154" s="120">
        <f t="shared" si="104"/>
        <v>234000</v>
      </c>
      <c r="Y154" s="120">
        <f t="shared" si="104"/>
        <v>0</v>
      </c>
      <c r="Z154" s="120">
        <f t="shared" si="104"/>
        <v>0</v>
      </c>
      <c r="AA154" s="120">
        <f t="shared" si="104"/>
        <v>2116000</v>
      </c>
      <c r="AB154" s="117">
        <f t="shared" si="104"/>
        <v>0</v>
      </c>
      <c r="AC154" s="115">
        <f t="shared" si="104"/>
        <v>1180000</v>
      </c>
      <c r="AD154" s="120">
        <f t="shared" si="104"/>
        <v>0</v>
      </c>
      <c r="AE154" s="120">
        <f t="shared" si="104"/>
        <v>0</v>
      </c>
      <c r="AF154" s="116">
        <f t="shared" si="104"/>
        <v>0</v>
      </c>
      <c r="AG154" s="116">
        <f t="shared" si="104"/>
        <v>1180000</v>
      </c>
      <c r="AH154" s="117">
        <f t="shared" si="104"/>
        <v>0</v>
      </c>
      <c r="AI154" s="47">
        <f t="shared" si="104"/>
        <v>234000</v>
      </c>
      <c r="AJ154" s="10">
        <f t="shared" si="104"/>
        <v>0</v>
      </c>
      <c r="AK154" s="10">
        <f t="shared" si="104"/>
        <v>0</v>
      </c>
      <c r="AL154" s="10">
        <f t="shared" si="104"/>
        <v>3296000</v>
      </c>
      <c r="AM154" s="48">
        <f t="shared" si="104"/>
        <v>0</v>
      </c>
      <c r="AN154" s="52">
        <f t="shared" si="104"/>
        <v>3296000</v>
      </c>
      <c r="AO154" s="39">
        <f t="shared" si="104"/>
        <v>0</v>
      </c>
      <c r="AP154" s="10">
        <f t="shared" si="104"/>
        <v>0</v>
      </c>
      <c r="AQ154" s="10">
        <f t="shared" si="104"/>
        <v>0</v>
      </c>
      <c r="AR154" s="10">
        <f t="shared" si="104"/>
        <v>0</v>
      </c>
      <c r="AS154" s="10">
        <f t="shared" si="104"/>
        <v>0</v>
      </c>
      <c r="AT154" s="10">
        <f t="shared" si="104"/>
        <v>0</v>
      </c>
      <c r="AU154" s="10">
        <f t="shared" si="104"/>
        <v>0</v>
      </c>
      <c r="AV154" s="10">
        <f t="shared" si="104"/>
        <v>0</v>
      </c>
      <c r="AW154" s="10">
        <f t="shared" ref="AW154:AW166" si="105">AP154-AQ154-AV154</f>
        <v>0</v>
      </c>
      <c r="AY154" s="11">
        <f t="shared" si="93"/>
        <v>0</v>
      </c>
    </row>
    <row r="155" spans="5:51" ht="60" customHeight="1" x14ac:dyDescent="0.2">
      <c r="E155" s="151">
        <v>30500</v>
      </c>
      <c r="F155" s="155" t="s">
        <v>82</v>
      </c>
      <c r="G155" s="156"/>
      <c r="H155" s="157"/>
      <c r="I155" s="158"/>
      <c r="J155" s="159"/>
      <c r="K155" s="158"/>
      <c r="L155" s="159"/>
      <c r="M155" s="158"/>
      <c r="N155" s="159"/>
      <c r="O155" s="158"/>
      <c r="P155" s="159"/>
      <c r="Q155" s="158"/>
      <c r="R155" s="159"/>
      <c r="S155" s="156"/>
      <c r="T155" s="160"/>
      <c r="U155" s="157"/>
      <c r="V155" s="161"/>
      <c r="W155" s="158"/>
      <c r="X155" s="160"/>
      <c r="Y155" s="160"/>
      <c r="Z155" s="160"/>
      <c r="AA155" s="160"/>
      <c r="AB155" s="159"/>
      <c r="AC155" s="158"/>
      <c r="AD155" s="160"/>
      <c r="AE155" s="160"/>
      <c r="AF155" s="157"/>
      <c r="AG155" s="157"/>
      <c r="AH155" s="159"/>
      <c r="AI155" s="45"/>
      <c r="AJ155" s="9"/>
      <c r="AK155" s="9"/>
      <c r="AL155" s="9"/>
      <c r="AM155" s="46"/>
      <c r="AN155" s="50"/>
      <c r="AO155" s="36"/>
      <c r="AP155" s="9"/>
      <c r="AQ155" s="9"/>
      <c r="AR155" s="9"/>
      <c r="AS155" s="9"/>
      <c r="AT155" s="9"/>
      <c r="AU155" s="9"/>
      <c r="AV155" s="9"/>
      <c r="AW155" s="10">
        <f t="shared" si="105"/>
        <v>0</v>
      </c>
      <c r="AY155" s="11">
        <f t="shared" si="93"/>
        <v>0</v>
      </c>
    </row>
    <row r="156" spans="5:51" ht="60" customHeight="1" x14ac:dyDescent="0.2">
      <c r="E156" s="151">
        <f>+E155+1</f>
        <v>30501</v>
      </c>
      <c r="F156" s="170" t="s">
        <v>82</v>
      </c>
      <c r="G156" s="156">
        <v>100000</v>
      </c>
      <c r="H156" s="157"/>
      <c r="I156" s="158">
        <v>600000</v>
      </c>
      <c r="J156" s="159">
        <v>350000</v>
      </c>
      <c r="K156" s="158">
        <f>100000+265000</f>
        <v>365000</v>
      </c>
      <c r="L156" s="159">
        <v>171000</v>
      </c>
      <c r="M156" s="158">
        <v>200000</v>
      </c>
      <c r="N156" s="159">
        <v>187797</v>
      </c>
      <c r="O156" s="158">
        <v>2420000</v>
      </c>
      <c r="P156" s="159">
        <v>1907604</v>
      </c>
      <c r="Q156" s="165">
        <f>O156-M156</f>
        <v>2220000</v>
      </c>
      <c r="R156" s="166">
        <f>P156-N156</f>
        <v>1719807</v>
      </c>
      <c r="S156" s="156">
        <v>2200000</v>
      </c>
      <c r="T156" s="160">
        <f>+S156-U156</f>
        <v>1750000</v>
      </c>
      <c r="U156" s="164">
        <v>450000</v>
      </c>
      <c r="V156" s="161">
        <v>300000</v>
      </c>
      <c r="W156" s="158">
        <v>300000</v>
      </c>
      <c r="X156" s="160">
        <f>W156/2</f>
        <v>150000</v>
      </c>
      <c r="Y156" s="160"/>
      <c r="Z156" s="160"/>
      <c r="AA156" s="160">
        <f>W156-X156</f>
        <v>150000</v>
      </c>
      <c r="AB156" s="159"/>
      <c r="AC156" s="158">
        <f>V156-W156</f>
        <v>0</v>
      </c>
      <c r="AD156" s="160"/>
      <c r="AE156" s="160"/>
      <c r="AF156" s="157"/>
      <c r="AG156" s="157"/>
      <c r="AH156" s="159"/>
      <c r="AI156" s="35">
        <f>AD156+X156</f>
        <v>150000</v>
      </c>
      <c r="AJ156" s="11">
        <f>AE156+Y156</f>
        <v>0</v>
      </c>
      <c r="AK156" s="11">
        <f>AF156+Z156</f>
        <v>0</v>
      </c>
      <c r="AL156" s="11">
        <f>AG156+AA156</f>
        <v>150000</v>
      </c>
      <c r="AM156" s="76">
        <f>AH156+AB156</f>
        <v>0</v>
      </c>
      <c r="AN156" s="51">
        <f>SUM(AJ156:AM156)</f>
        <v>150000</v>
      </c>
      <c r="AO156" s="36"/>
      <c r="AP156" s="9"/>
      <c r="AQ156" s="9"/>
      <c r="AR156" s="9"/>
      <c r="AS156" s="9"/>
      <c r="AT156" s="9"/>
      <c r="AU156" s="9"/>
      <c r="AV156" s="9">
        <f>AU156+AT156+AS156+AR156</f>
        <v>0</v>
      </c>
      <c r="AW156" s="10">
        <f t="shared" si="105"/>
        <v>0</v>
      </c>
      <c r="AY156" s="11">
        <f t="shared" si="93"/>
        <v>0</v>
      </c>
    </row>
    <row r="157" spans="5:51" ht="60" customHeight="1" x14ac:dyDescent="0.2">
      <c r="E157" s="149"/>
      <c r="F157" s="127" t="s">
        <v>83</v>
      </c>
      <c r="G157" s="118">
        <f t="shared" ref="G157:AV157" si="106">SUM(G156)</f>
        <v>100000</v>
      </c>
      <c r="H157" s="116">
        <f t="shared" si="106"/>
        <v>0</v>
      </c>
      <c r="I157" s="115">
        <f t="shared" si="106"/>
        <v>600000</v>
      </c>
      <c r="J157" s="117">
        <f t="shared" si="106"/>
        <v>350000</v>
      </c>
      <c r="K157" s="115">
        <f t="shared" si="106"/>
        <v>365000</v>
      </c>
      <c r="L157" s="117">
        <f t="shared" si="106"/>
        <v>171000</v>
      </c>
      <c r="M157" s="115">
        <f t="shared" si="106"/>
        <v>200000</v>
      </c>
      <c r="N157" s="117">
        <f t="shared" si="106"/>
        <v>187797</v>
      </c>
      <c r="O157" s="115">
        <f t="shared" si="106"/>
        <v>2420000</v>
      </c>
      <c r="P157" s="117">
        <f t="shared" si="106"/>
        <v>1907604</v>
      </c>
      <c r="Q157" s="115">
        <f t="shared" si="106"/>
        <v>2220000</v>
      </c>
      <c r="R157" s="117">
        <f t="shared" si="106"/>
        <v>1719807</v>
      </c>
      <c r="S157" s="118">
        <f t="shared" si="106"/>
        <v>2200000</v>
      </c>
      <c r="T157" s="120">
        <f t="shared" si="106"/>
        <v>1750000</v>
      </c>
      <c r="U157" s="116">
        <f t="shared" si="106"/>
        <v>450000</v>
      </c>
      <c r="V157" s="119">
        <f t="shared" si="106"/>
        <v>300000</v>
      </c>
      <c r="W157" s="115">
        <f t="shared" si="106"/>
        <v>300000</v>
      </c>
      <c r="X157" s="120">
        <f t="shared" si="106"/>
        <v>150000</v>
      </c>
      <c r="Y157" s="120">
        <f t="shared" si="106"/>
        <v>0</v>
      </c>
      <c r="Z157" s="120">
        <f t="shared" si="106"/>
        <v>0</v>
      </c>
      <c r="AA157" s="120">
        <f t="shared" si="106"/>
        <v>150000</v>
      </c>
      <c r="AB157" s="117">
        <f t="shared" si="106"/>
        <v>0</v>
      </c>
      <c r="AC157" s="115">
        <f t="shared" si="106"/>
        <v>0</v>
      </c>
      <c r="AD157" s="120">
        <f t="shared" si="106"/>
        <v>0</v>
      </c>
      <c r="AE157" s="120">
        <f t="shared" si="106"/>
        <v>0</v>
      </c>
      <c r="AF157" s="116">
        <f t="shared" si="106"/>
        <v>0</v>
      </c>
      <c r="AG157" s="116">
        <f t="shared" si="106"/>
        <v>0</v>
      </c>
      <c r="AH157" s="117">
        <f t="shared" si="106"/>
        <v>0</v>
      </c>
      <c r="AI157" s="47">
        <f t="shared" si="106"/>
        <v>150000</v>
      </c>
      <c r="AJ157" s="10">
        <f t="shared" si="106"/>
        <v>0</v>
      </c>
      <c r="AK157" s="10">
        <f t="shared" si="106"/>
        <v>0</v>
      </c>
      <c r="AL157" s="10">
        <f t="shared" si="106"/>
        <v>150000</v>
      </c>
      <c r="AM157" s="48">
        <f t="shared" si="106"/>
        <v>0</v>
      </c>
      <c r="AN157" s="52">
        <f t="shared" si="106"/>
        <v>150000</v>
      </c>
      <c r="AO157" s="39">
        <f t="shared" si="106"/>
        <v>0</v>
      </c>
      <c r="AP157" s="10">
        <f t="shared" si="106"/>
        <v>0</v>
      </c>
      <c r="AQ157" s="10">
        <f t="shared" si="106"/>
        <v>0</v>
      </c>
      <c r="AR157" s="10">
        <f t="shared" si="106"/>
        <v>0</v>
      </c>
      <c r="AS157" s="10">
        <f t="shared" si="106"/>
        <v>0</v>
      </c>
      <c r="AT157" s="10">
        <f t="shared" si="106"/>
        <v>0</v>
      </c>
      <c r="AU157" s="10">
        <f t="shared" si="106"/>
        <v>0</v>
      </c>
      <c r="AV157" s="10">
        <f t="shared" si="106"/>
        <v>0</v>
      </c>
      <c r="AW157" s="10">
        <f t="shared" si="105"/>
        <v>0</v>
      </c>
      <c r="AY157" s="11">
        <f t="shared" si="93"/>
        <v>0</v>
      </c>
    </row>
    <row r="158" spans="5:51" ht="60" customHeight="1" x14ac:dyDescent="0.2">
      <c r="E158" s="151">
        <v>30600</v>
      </c>
      <c r="F158" s="155" t="s">
        <v>84</v>
      </c>
      <c r="G158" s="156"/>
      <c r="H158" s="157"/>
      <c r="I158" s="158"/>
      <c r="J158" s="159"/>
      <c r="K158" s="158"/>
      <c r="L158" s="159"/>
      <c r="M158" s="158"/>
      <c r="N158" s="159"/>
      <c r="O158" s="158"/>
      <c r="P158" s="159"/>
      <c r="Q158" s="158"/>
      <c r="R158" s="159"/>
      <c r="S158" s="156"/>
      <c r="T158" s="160"/>
      <c r="U158" s="157"/>
      <c r="V158" s="161"/>
      <c r="W158" s="158"/>
      <c r="X158" s="160"/>
      <c r="Y158" s="160"/>
      <c r="Z158" s="160"/>
      <c r="AA158" s="160"/>
      <c r="AB158" s="159"/>
      <c r="AC158" s="158"/>
      <c r="AD158" s="160"/>
      <c r="AE158" s="160"/>
      <c r="AF158" s="157"/>
      <c r="AG158" s="157"/>
      <c r="AH158" s="159"/>
      <c r="AI158" s="45"/>
      <c r="AJ158" s="9"/>
      <c r="AK158" s="9"/>
      <c r="AL158" s="9"/>
      <c r="AM158" s="46"/>
      <c r="AN158" s="50"/>
      <c r="AO158" s="36"/>
      <c r="AP158" s="9"/>
      <c r="AQ158" s="9"/>
      <c r="AR158" s="9"/>
      <c r="AS158" s="9"/>
      <c r="AT158" s="9"/>
      <c r="AU158" s="9"/>
      <c r="AV158" s="9"/>
      <c r="AW158" s="10">
        <f t="shared" si="105"/>
        <v>0</v>
      </c>
      <c r="AY158" s="11">
        <f t="shared" si="93"/>
        <v>0</v>
      </c>
    </row>
    <row r="159" spans="5:51" ht="60" customHeight="1" x14ac:dyDescent="0.2">
      <c r="E159" s="151">
        <f>+E158+1</f>
        <v>30601</v>
      </c>
      <c r="F159" s="170" t="s">
        <v>85</v>
      </c>
      <c r="G159" s="156">
        <v>100000</v>
      </c>
      <c r="H159" s="157">
        <v>69475</v>
      </c>
      <c r="I159" s="158">
        <v>100000</v>
      </c>
      <c r="J159" s="159">
        <v>126000</v>
      </c>
      <c r="K159" s="158">
        <v>100000</v>
      </c>
      <c r="L159" s="159"/>
      <c r="M159" s="158">
        <v>100000</v>
      </c>
      <c r="N159" s="159"/>
      <c r="O159" s="158">
        <v>100000</v>
      </c>
      <c r="P159" s="159"/>
      <c r="Q159" s="165">
        <f t="shared" ref="Q159:R161" si="107">O159-M159</f>
        <v>0</v>
      </c>
      <c r="R159" s="166">
        <f t="shared" si="107"/>
        <v>0</v>
      </c>
      <c r="S159" s="156">
        <v>60000</v>
      </c>
      <c r="T159" s="160">
        <f>+S159</f>
        <v>60000</v>
      </c>
      <c r="U159" s="157"/>
      <c r="V159" s="161">
        <v>100000</v>
      </c>
      <c r="W159" s="158">
        <v>100000</v>
      </c>
      <c r="X159" s="160">
        <f>W159</f>
        <v>100000</v>
      </c>
      <c r="Y159" s="160"/>
      <c r="Z159" s="160"/>
      <c r="AA159" s="160"/>
      <c r="AB159" s="159"/>
      <c r="AC159" s="158">
        <f>V159-W159</f>
        <v>0</v>
      </c>
      <c r="AD159" s="160"/>
      <c r="AE159" s="160"/>
      <c r="AF159" s="157"/>
      <c r="AG159" s="157"/>
      <c r="AH159" s="159"/>
      <c r="AI159" s="35">
        <f t="shared" ref="AI159:AM161" si="108">AD159+X159</f>
        <v>100000</v>
      </c>
      <c r="AJ159" s="11">
        <f t="shared" si="108"/>
        <v>0</v>
      </c>
      <c r="AK159" s="11">
        <f t="shared" si="108"/>
        <v>0</v>
      </c>
      <c r="AL159" s="11">
        <f t="shared" si="108"/>
        <v>0</v>
      </c>
      <c r="AM159" s="76">
        <f t="shared" si="108"/>
        <v>0</v>
      </c>
      <c r="AN159" s="51">
        <f>SUM(AJ159:AM159)</f>
        <v>0</v>
      </c>
      <c r="AO159" s="36"/>
      <c r="AP159" s="9"/>
      <c r="AQ159" s="9"/>
      <c r="AR159" s="9"/>
      <c r="AS159" s="9"/>
      <c r="AT159" s="9"/>
      <c r="AU159" s="9"/>
      <c r="AV159" s="9">
        <f>AU159+AT159+AS159+AR159</f>
        <v>0</v>
      </c>
      <c r="AW159" s="10">
        <f t="shared" si="105"/>
        <v>0</v>
      </c>
      <c r="AY159" s="11">
        <f t="shared" si="93"/>
        <v>0</v>
      </c>
    </row>
    <row r="160" spans="5:51" ht="60" customHeight="1" x14ac:dyDescent="0.2">
      <c r="E160" s="151">
        <f>+E159+1</f>
        <v>30602</v>
      </c>
      <c r="F160" s="170" t="s">
        <v>86</v>
      </c>
      <c r="G160" s="156">
        <v>460000</v>
      </c>
      <c r="H160" s="157">
        <v>60000</v>
      </c>
      <c r="I160" s="158">
        <v>220000</v>
      </c>
      <c r="J160" s="159">
        <v>88000</v>
      </c>
      <c r="K160" s="158">
        <v>200000</v>
      </c>
      <c r="L160" s="159">
        <v>120000</v>
      </c>
      <c r="M160" s="158">
        <v>1095000</v>
      </c>
      <c r="N160" s="159">
        <f>250000+295000+17000</f>
        <v>562000</v>
      </c>
      <c r="O160" s="158">
        <v>1375000</v>
      </c>
      <c r="P160" s="159">
        <v>1072580</v>
      </c>
      <c r="Q160" s="165">
        <f t="shared" si="107"/>
        <v>280000</v>
      </c>
      <c r="R160" s="166">
        <f t="shared" si="107"/>
        <v>510580</v>
      </c>
      <c r="S160" s="156">
        <v>800000</v>
      </c>
      <c r="T160" s="160">
        <v>600000</v>
      </c>
      <c r="U160" s="157">
        <f>+S160-T160</f>
        <v>200000</v>
      </c>
      <c r="V160" s="161">
        <v>300000</v>
      </c>
      <c r="W160" s="158">
        <v>300000</v>
      </c>
      <c r="X160" s="160">
        <f>W160/2</f>
        <v>150000</v>
      </c>
      <c r="Y160" s="160"/>
      <c r="Z160" s="160"/>
      <c r="AA160" s="160">
        <f>W160-X160</f>
        <v>150000</v>
      </c>
      <c r="AB160" s="159"/>
      <c r="AC160" s="158">
        <f>V160-W160</f>
        <v>0</v>
      </c>
      <c r="AD160" s="160"/>
      <c r="AE160" s="160"/>
      <c r="AF160" s="157"/>
      <c r="AG160" s="157"/>
      <c r="AH160" s="159"/>
      <c r="AI160" s="35">
        <f t="shared" si="108"/>
        <v>150000</v>
      </c>
      <c r="AJ160" s="11">
        <f t="shared" si="108"/>
        <v>0</v>
      </c>
      <c r="AK160" s="11">
        <f t="shared" si="108"/>
        <v>0</v>
      </c>
      <c r="AL160" s="11">
        <f t="shared" si="108"/>
        <v>150000</v>
      </c>
      <c r="AM160" s="76">
        <f t="shared" si="108"/>
        <v>0</v>
      </c>
      <c r="AN160" s="51">
        <f>SUM(AJ160:AM160)</f>
        <v>150000</v>
      </c>
      <c r="AO160" s="36"/>
      <c r="AP160" s="9"/>
      <c r="AQ160" s="9"/>
      <c r="AR160" s="9"/>
      <c r="AS160" s="9"/>
      <c r="AT160" s="9"/>
      <c r="AU160" s="9"/>
      <c r="AV160" s="9">
        <f>AU160+AT160+AS160+AR160</f>
        <v>0</v>
      </c>
      <c r="AW160" s="10">
        <f t="shared" si="105"/>
        <v>0</v>
      </c>
      <c r="AY160" s="11">
        <f t="shared" si="93"/>
        <v>0</v>
      </c>
    </row>
    <row r="161" spans="5:54" ht="60" customHeight="1" x14ac:dyDescent="0.2">
      <c r="E161" s="151">
        <f>+E160+1</f>
        <v>30603</v>
      </c>
      <c r="F161" s="170" t="s">
        <v>549</v>
      </c>
      <c r="G161" s="156">
        <v>170000</v>
      </c>
      <c r="H161" s="157">
        <v>155046</v>
      </c>
      <c r="I161" s="158">
        <v>216000</v>
      </c>
      <c r="J161" s="159">
        <v>216000</v>
      </c>
      <c r="K161" s="158">
        <v>170000</v>
      </c>
      <c r="L161" s="159"/>
      <c r="M161" s="158">
        <v>370000</v>
      </c>
      <c r="N161" s="159">
        <v>370000</v>
      </c>
      <c r="O161" s="158">
        <v>170000</v>
      </c>
      <c r="P161" s="159">
        <v>170000</v>
      </c>
      <c r="Q161" s="165">
        <f t="shared" si="107"/>
        <v>-200000</v>
      </c>
      <c r="R161" s="166">
        <f t="shared" si="107"/>
        <v>-200000</v>
      </c>
      <c r="S161" s="156"/>
      <c r="T161" s="160"/>
      <c r="U161" s="157"/>
      <c r="V161" s="161">
        <v>170000</v>
      </c>
      <c r="W161" s="158">
        <v>170000</v>
      </c>
      <c r="X161" s="160"/>
      <c r="Y161" s="160"/>
      <c r="Z161" s="160"/>
      <c r="AA161" s="160">
        <f>W161</f>
        <v>170000</v>
      </c>
      <c r="AB161" s="159"/>
      <c r="AC161" s="158">
        <f>V161-W161</f>
        <v>0</v>
      </c>
      <c r="AD161" s="160"/>
      <c r="AE161" s="160"/>
      <c r="AF161" s="157"/>
      <c r="AG161" s="157"/>
      <c r="AH161" s="159"/>
      <c r="AI161" s="35">
        <f t="shared" si="108"/>
        <v>0</v>
      </c>
      <c r="AJ161" s="11">
        <f t="shared" si="108"/>
        <v>0</v>
      </c>
      <c r="AK161" s="11">
        <f t="shared" si="108"/>
        <v>0</v>
      </c>
      <c r="AL161" s="11">
        <f t="shared" si="108"/>
        <v>170000</v>
      </c>
      <c r="AM161" s="76">
        <f t="shared" si="108"/>
        <v>0</v>
      </c>
      <c r="AN161" s="51">
        <f>SUM(AJ161:AM161)</f>
        <v>170000</v>
      </c>
      <c r="AO161" s="36"/>
      <c r="AP161" s="9"/>
      <c r="AQ161" s="9"/>
      <c r="AR161" s="9"/>
      <c r="AS161" s="9"/>
      <c r="AT161" s="9"/>
      <c r="AU161" s="9"/>
      <c r="AV161" s="9">
        <f>AU161+AT161+AS161+AR161</f>
        <v>0</v>
      </c>
      <c r="AW161" s="10">
        <f t="shared" si="105"/>
        <v>0</v>
      </c>
      <c r="AY161" s="11">
        <f t="shared" si="93"/>
        <v>0</v>
      </c>
    </row>
    <row r="162" spans="5:54" ht="60" customHeight="1" x14ac:dyDescent="0.2">
      <c r="E162" s="149"/>
      <c r="F162" s="127" t="s">
        <v>87</v>
      </c>
      <c r="G162" s="118">
        <f t="shared" ref="G162:AV162" si="109">SUM(G159:G161)</f>
        <v>730000</v>
      </c>
      <c r="H162" s="116">
        <f t="shared" si="109"/>
        <v>284521</v>
      </c>
      <c r="I162" s="115">
        <f t="shared" si="109"/>
        <v>536000</v>
      </c>
      <c r="J162" s="117">
        <f t="shared" si="109"/>
        <v>430000</v>
      </c>
      <c r="K162" s="115">
        <f t="shared" si="109"/>
        <v>470000</v>
      </c>
      <c r="L162" s="117">
        <f t="shared" si="109"/>
        <v>120000</v>
      </c>
      <c r="M162" s="115">
        <f t="shared" si="109"/>
        <v>1565000</v>
      </c>
      <c r="N162" s="117">
        <f t="shared" si="109"/>
        <v>932000</v>
      </c>
      <c r="O162" s="115">
        <f t="shared" si="109"/>
        <v>1645000</v>
      </c>
      <c r="P162" s="117">
        <f t="shared" si="109"/>
        <v>1242580</v>
      </c>
      <c r="Q162" s="115">
        <f t="shared" si="109"/>
        <v>80000</v>
      </c>
      <c r="R162" s="117">
        <f t="shared" si="109"/>
        <v>310580</v>
      </c>
      <c r="S162" s="118">
        <f t="shared" si="109"/>
        <v>860000</v>
      </c>
      <c r="T162" s="120">
        <f t="shared" si="109"/>
        <v>660000</v>
      </c>
      <c r="U162" s="116">
        <f t="shared" si="109"/>
        <v>200000</v>
      </c>
      <c r="V162" s="119">
        <f t="shared" si="109"/>
        <v>570000</v>
      </c>
      <c r="W162" s="115">
        <f t="shared" si="109"/>
        <v>570000</v>
      </c>
      <c r="X162" s="120">
        <f t="shared" si="109"/>
        <v>250000</v>
      </c>
      <c r="Y162" s="120">
        <f t="shared" si="109"/>
        <v>0</v>
      </c>
      <c r="Z162" s="120">
        <f t="shared" si="109"/>
        <v>0</v>
      </c>
      <c r="AA162" s="120">
        <f t="shared" si="109"/>
        <v>320000</v>
      </c>
      <c r="AB162" s="117">
        <f t="shared" si="109"/>
        <v>0</v>
      </c>
      <c r="AC162" s="115">
        <f t="shared" si="109"/>
        <v>0</v>
      </c>
      <c r="AD162" s="120">
        <f t="shared" si="109"/>
        <v>0</v>
      </c>
      <c r="AE162" s="120">
        <f t="shared" si="109"/>
        <v>0</v>
      </c>
      <c r="AF162" s="116">
        <f t="shared" si="109"/>
        <v>0</v>
      </c>
      <c r="AG162" s="116">
        <f t="shared" si="109"/>
        <v>0</v>
      </c>
      <c r="AH162" s="117">
        <f t="shared" si="109"/>
        <v>0</v>
      </c>
      <c r="AI162" s="47">
        <f t="shared" si="109"/>
        <v>250000</v>
      </c>
      <c r="AJ162" s="10">
        <f t="shared" si="109"/>
        <v>0</v>
      </c>
      <c r="AK162" s="10">
        <f t="shared" si="109"/>
        <v>0</v>
      </c>
      <c r="AL162" s="10">
        <f t="shared" si="109"/>
        <v>320000</v>
      </c>
      <c r="AM162" s="48">
        <f t="shared" si="109"/>
        <v>0</v>
      </c>
      <c r="AN162" s="52">
        <f t="shared" si="109"/>
        <v>320000</v>
      </c>
      <c r="AO162" s="39">
        <f t="shared" si="109"/>
        <v>0</v>
      </c>
      <c r="AP162" s="10">
        <f t="shared" si="109"/>
        <v>0</v>
      </c>
      <c r="AQ162" s="10">
        <f t="shared" si="109"/>
        <v>0</v>
      </c>
      <c r="AR162" s="10">
        <f t="shared" si="109"/>
        <v>0</v>
      </c>
      <c r="AS162" s="10">
        <f t="shared" si="109"/>
        <v>0</v>
      </c>
      <c r="AT162" s="10">
        <f t="shared" si="109"/>
        <v>0</v>
      </c>
      <c r="AU162" s="10">
        <f t="shared" si="109"/>
        <v>0</v>
      </c>
      <c r="AV162" s="10">
        <f t="shared" si="109"/>
        <v>0</v>
      </c>
      <c r="AW162" s="10">
        <f t="shared" si="105"/>
        <v>0</v>
      </c>
      <c r="AY162" s="11">
        <f t="shared" si="93"/>
        <v>0</v>
      </c>
    </row>
    <row r="163" spans="5:54" ht="60" customHeight="1" x14ac:dyDescent="0.2">
      <c r="E163" s="151">
        <v>30700</v>
      </c>
      <c r="F163" s="155" t="s">
        <v>88</v>
      </c>
      <c r="G163" s="156"/>
      <c r="H163" s="157"/>
      <c r="I163" s="158"/>
      <c r="J163" s="159"/>
      <c r="K163" s="158"/>
      <c r="L163" s="159"/>
      <c r="M163" s="158"/>
      <c r="N163" s="159"/>
      <c r="O163" s="158"/>
      <c r="P163" s="159"/>
      <c r="Q163" s="158"/>
      <c r="R163" s="159"/>
      <c r="S163" s="156"/>
      <c r="T163" s="160"/>
      <c r="U163" s="157"/>
      <c r="V163" s="161"/>
      <c r="W163" s="158"/>
      <c r="X163" s="160"/>
      <c r="Y163" s="160"/>
      <c r="Z163" s="160"/>
      <c r="AA163" s="160"/>
      <c r="AB163" s="159"/>
      <c r="AC163" s="158"/>
      <c r="AD163" s="160"/>
      <c r="AE163" s="160"/>
      <c r="AF163" s="157"/>
      <c r="AG163" s="157"/>
      <c r="AH163" s="159"/>
      <c r="AI163" s="45"/>
      <c r="AJ163" s="9"/>
      <c r="AK163" s="9"/>
      <c r="AL163" s="9"/>
      <c r="AM163" s="46"/>
      <c r="AN163" s="50"/>
      <c r="AO163" s="36"/>
      <c r="AP163" s="9"/>
      <c r="AQ163" s="9"/>
      <c r="AR163" s="9"/>
      <c r="AS163" s="9"/>
      <c r="AT163" s="9"/>
      <c r="AU163" s="9"/>
      <c r="AV163" s="9"/>
      <c r="AW163" s="10">
        <f t="shared" si="105"/>
        <v>0</v>
      </c>
      <c r="AY163" s="11">
        <f t="shared" si="93"/>
        <v>0</v>
      </c>
    </row>
    <row r="164" spans="5:54" ht="60" customHeight="1" x14ac:dyDescent="0.2">
      <c r="E164" s="151">
        <f>E163+1</f>
        <v>30701</v>
      </c>
      <c r="F164" s="170" t="s">
        <v>89</v>
      </c>
      <c r="G164" s="156">
        <v>3600000</v>
      </c>
      <c r="H164" s="157"/>
      <c r="I164" s="158">
        <v>3000000</v>
      </c>
      <c r="J164" s="159"/>
      <c r="K164" s="158">
        <v>3500000</v>
      </c>
      <c r="L164" s="159"/>
      <c r="M164" s="158">
        <v>3000000</v>
      </c>
      <c r="N164" s="159">
        <v>3000000</v>
      </c>
      <c r="O164" s="158">
        <v>3000000</v>
      </c>
      <c r="P164" s="159"/>
      <c r="Q164" s="165">
        <f>O164-M164</f>
        <v>0</v>
      </c>
      <c r="R164" s="166">
        <f>P164-N164</f>
        <v>-3000000</v>
      </c>
      <c r="S164" s="156"/>
      <c r="T164" s="160"/>
      <c r="U164" s="157"/>
      <c r="V164" s="161">
        <v>3200000</v>
      </c>
      <c r="W164" s="158">
        <v>3200000</v>
      </c>
      <c r="X164" s="160">
        <f>W164</f>
        <v>3200000</v>
      </c>
      <c r="Y164" s="160"/>
      <c r="Z164" s="160"/>
      <c r="AA164" s="160"/>
      <c r="AB164" s="159"/>
      <c r="AC164" s="158">
        <f>V164-W164</f>
        <v>0</v>
      </c>
      <c r="AD164" s="160"/>
      <c r="AE164" s="160"/>
      <c r="AF164" s="157"/>
      <c r="AG164" s="157"/>
      <c r="AH164" s="159"/>
      <c r="AI164" s="35">
        <f t="shared" ref="AI164:AM168" si="110">AD164+X164</f>
        <v>3200000</v>
      </c>
      <c r="AJ164" s="11">
        <f t="shared" si="110"/>
        <v>0</v>
      </c>
      <c r="AK164" s="11">
        <f t="shared" si="110"/>
        <v>0</v>
      </c>
      <c r="AL164" s="11">
        <f t="shared" si="110"/>
        <v>0</v>
      </c>
      <c r="AM164" s="76">
        <f t="shared" si="110"/>
        <v>0</v>
      </c>
      <c r="AN164" s="51">
        <f>SUM(AJ164:AM164)</f>
        <v>0</v>
      </c>
      <c r="AO164" s="36"/>
      <c r="AP164" s="9"/>
      <c r="AQ164" s="9"/>
      <c r="AR164" s="9"/>
      <c r="AS164" s="9"/>
      <c r="AT164" s="9"/>
      <c r="AU164" s="9"/>
      <c r="AV164" s="9">
        <f>AU164+AT164+AS164+AR164</f>
        <v>0</v>
      </c>
      <c r="AW164" s="10">
        <f t="shared" si="105"/>
        <v>0</v>
      </c>
      <c r="AY164" s="11">
        <f t="shared" si="93"/>
        <v>0</v>
      </c>
    </row>
    <row r="165" spans="5:54" ht="60" customHeight="1" x14ac:dyDescent="0.2">
      <c r="E165" s="151">
        <f>E164+1</f>
        <v>30702</v>
      </c>
      <c r="F165" s="170" t="s">
        <v>90</v>
      </c>
      <c r="G165" s="156">
        <v>525000</v>
      </c>
      <c r="H165" s="157">
        <f>G165:G165</f>
        <v>525000</v>
      </c>
      <c r="I165" s="158">
        <v>500000</v>
      </c>
      <c r="J165" s="159">
        <v>500000</v>
      </c>
      <c r="K165" s="158">
        <v>500000</v>
      </c>
      <c r="L165" s="159">
        <v>500000</v>
      </c>
      <c r="M165" s="158">
        <v>855000</v>
      </c>
      <c r="N165" s="159">
        <f>167500*4+84500+100000</f>
        <v>854500</v>
      </c>
      <c r="O165" s="158">
        <v>810000</v>
      </c>
      <c r="P165" s="159">
        <v>810000</v>
      </c>
      <c r="Q165" s="165">
        <f t="shared" ref="Q165:R168" si="111">O165-M165</f>
        <v>-45000</v>
      </c>
      <c r="R165" s="166">
        <f t="shared" si="111"/>
        <v>-44500</v>
      </c>
      <c r="S165" s="156">
        <v>150000</v>
      </c>
      <c r="T165" s="160"/>
      <c r="U165" s="157">
        <f>+S165</f>
        <v>150000</v>
      </c>
      <c r="V165" s="161">
        <v>670000</v>
      </c>
      <c r="W165" s="158">
        <v>670000</v>
      </c>
      <c r="X165" s="160"/>
      <c r="Y165" s="160"/>
      <c r="Z165" s="160"/>
      <c r="AA165" s="160">
        <f>W165</f>
        <v>670000</v>
      </c>
      <c r="AB165" s="159"/>
      <c r="AC165" s="158">
        <f>V165-W165</f>
        <v>0</v>
      </c>
      <c r="AD165" s="160"/>
      <c r="AE165" s="160"/>
      <c r="AF165" s="157"/>
      <c r="AG165" s="157"/>
      <c r="AH165" s="159"/>
      <c r="AI165" s="35">
        <f t="shared" si="110"/>
        <v>0</v>
      </c>
      <c r="AJ165" s="11">
        <f t="shared" si="110"/>
        <v>0</v>
      </c>
      <c r="AK165" s="11">
        <f t="shared" si="110"/>
        <v>0</v>
      </c>
      <c r="AL165" s="11">
        <f t="shared" si="110"/>
        <v>670000</v>
      </c>
      <c r="AM165" s="76">
        <f t="shared" si="110"/>
        <v>0</v>
      </c>
      <c r="AN165" s="51">
        <f>SUM(AJ165:AM165)</f>
        <v>670000</v>
      </c>
      <c r="AO165" s="36"/>
      <c r="AP165" s="9"/>
      <c r="AQ165" s="9"/>
      <c r="AR165" s="9"/>
      <c r="AS165" s="9"/>
      <c r="AT165" s="9"/>
      <c r="AU165" s="9"/>
      <c r="AV165" s="9">
        <f>AU165+AT165+AS165+AR165</f>
        <v>0</v>
      </c>
      <c r="AW165" s="10">
        <f t="shared" si="105"/>
        <v>0</v>
      </c>
      <c r="AY165" s="11">
        <f t="shared" si="93"/>
        <v>0</v>
      </c>
    </row>
    <row r="166" spans="5:54" ht="60" customHeight="1" x14ac:dyDescent="0.2">
      <c r="E166" s="151">
        <f>E165+1</f>
        <v>30703</v>
      </c>
      <c r="F166" s="170" t="s">
        <v>411</v>
      </c>
      <c r="G166" s="156"/>
      <c r="H166" s="157"/>
      <c r="I166" s="158">
        <v>150000</v>
      </c>
      <c r="J166" s="159">
        <f>I166</f>
        <v>150000</v>
      </c>
      <c r="K166" s="158">
        <v>350000</v>
      </c>
      <c r="L166" s="159">
        <v>350000</v>
      </c>
      <c r="M166" s="158">
        <v>350000</v>
      </c>
      <c r="N166" s="159">
        <v>107000</v>
      </c>
      <c r="O166" s="158">
        <v>110000</v>
      </c>
      <c r="P166" s="159">
        <v>107000</v>
      </c>
      <c r="Q166" s="165">
        <f t="shared" si="111"/>
        <v>-240000</v>
      </c>
      <c r="R166" s="166">
        <f t="shared" si="111"/>
        <v>0</v>
      </c>
      <c r="S166" s="156">
        <v>150000</v>
      </c>
      <c r="T166" s="160"/>
      <c r="U166" s="157">
        <f>+S166</f>
        <v>150000</v>
      </c>
      <c r="V166" s="161">
        <v>110000</v>
      </c>
      <c r="W166" s="158">
        <v>110000</v>
      </c>
      <c r="X166" s="160">
        <v>27000</v>
      </c>
      <c r="Y166" s="160"/>
      <c r="Z166" s="160"/>
      <c r="AA166" s="160">
        <f>W166-X166</f>
        <v>83000</v>
      </c>
      <c r="AB166" s="159"/>
      <c r="AC166" s="158">
        <f>V166-W166</f>
        <v>0</v>
      </c>
      <c r="AD166" s="160"/>
      <c r="AE166" s="160"/>
      <c r="AF166" s="157"/>
      <c r="AG166" s="157"/>
      <c r="AH166" s="159"/>
      <c r="AI166" s="35">
        <f t="shared" si="110"/>
        <v>27000</v>
      </c>
      <c r="AJ166" s="11">
        <f t="shared" si="110"/>
        <v>0</v>
      </c>
      <c r="AK166" s="11">
        <f t="shared" si="110"/>
        <v>0</v>
      </c>
      <c r="AL166" s="11">
        <f t="shared" si="110"/>
        <v>83000</v>
      </c>
      <c r="AM166" s="76">
        <f t="shared" si="110"/>
        <v>0</v>
      </c>
      <c r="AN166" s="51">
        <f>SUM(AJ166:AM166)</f>
        <v>83000</v>
      </c>
      <c r="AO166" s="36"/>
      <c r="AP166" s="9"/>
      <c r="AQ166" s="9"/>
      <c r="AR166" s="9"/>
      <c r="AS166" s="9"/>
      <c r="AT166" s="9"/>
      <c r="AU166" s="9"/>
      <c r="AV166" s="9">
        <f>AU166+AT166+AS166+AR166</f>
        <v>0</v>
      </c>
      <c r="AW166" s="10">
        <f t="shared" si="105"/>
        <v>0</v>
      </c>
      <c r="AY166" s="11">
        <f t="shared" si="93"/>
        <v>0</v>
      </c>
    </row>
    <row r="167" spans="5:54" ht="60" customHeight="1" x14ac:dyDescent="0.2">
      <c r="E167" s="151">
        <f>E166+1</f>
        <v>30704</v>
      </c>
      <c r="F167" s="162" t="s">
        <v>412</v>
      </c>
      <c r="G167" s="156"/>
      <c r="H167" s="157"/>
      <c r="I167" s="158"/>
      <c r="J167" s="159"/>
      <c r="K167" s="158"/>
      <c r="L167" s="159"/>
      <c r="M167" s="158">
        <v>450000</v>
      </c>
      <c r="N167" s="159">
        <v>450000</v>
      </c>
      <c r="O167" s="158">
        <v>450000</v>
      </c>
      <c r="P167" s="159">
        <v>450000</v>
      </c>
      <c r="Q167" s="165">
        <f t="shared" si="111"/>
        <v>0</v>
      </c>
      <c r="R167" s="166">
        <f t="shared" si="111"/>
        <v>0</v>
      </c>
      <c r="S167" s="156">
        <v>10000</v>
      </c>
      <c r="T167" s="160"/>
      <c r="U167" s="157">
        <f>+S167</f>
        <v>10000</v>
      </c>
      <c r="V167" s="161">
        <v>450000</v>
      </c>
      <c r="W167" s="158">
        <f>V167</f>
        <v>450000</v>
      </c>
      <c r="X167" s="160"/>
      <c r="Y167" s="160"/>
      <c r="Z167" s="160"/>
      <c r="AA167" s="160">
        <f>W167</f>
        <v>450000</v>
      </c>
      <c r="AB167" s="159"/>
      <c r="AC167" s="158">
        <f>V167-W167</f>
        <v>0</v>
      </c>
      <c r="AD167" s="160"/>
      <c r="AE167" s="160"/>
      <c r="AF167" s="157"/>
      <c r="AG167" s="157"/>
      <c r="AH167" s="159"/>
      <c r="AI167" s="35">
        <f t="shared" si="110"/>
        <v>0</v>
      </c>
      <c r="AJ167" s="11">
        <f t="shared" si="110"/>
        <v>0</v>
      </c>
      <c r="AK167" s="11">
        <f t="shared" si="110"/>
        <v>0</v>
      </c>
      <c r="AL167" s="11">
        <f t="shared" si="110"/>
        <v>450000</v>
      </c>
      <c r="AM167" s="76">
        <f t="shared" si="110"/>
        <v>0</v>
      </c>
      <c r="AN167" s="51">
        <f>SUM(AJ167:AM167)</f>
        <v>450000</v>
      </c>
      <c r="AO167" s="36"/>
      <c r="AP167" s="9"/>
      <c r="AQ167" s="9"/>
      <c r="AR167" s="9"/>
      <c r="AS167" s="9"/>
      <c r="AT167" s="9"/>
      <c r="AU167" s="9"/>
      <c r="AV167" s="9"/>
      <c r="AW167" s="10"/>
      <c r="AY167" s="11">
        <f t="shared" si="93"/>
        <v>0</v>
      </c>
    </row>
    <row r="168" spans="5:54" ht="60" customHeight="1" x14ac:dyDescent="0.2">
      <c r="E168" s="151">
        <f>E167+1</f>
        <v>30705</v>
      </c>
      <c r="F168" s="170" t="s">
        <v>91</v>
      </c>
      <c r="G168" s="156">
        <v>100000</v>
      </c>
      <c r="H168" s="157">
        <f>G168</f>
        <v>100000</v>
      </c>
      <c r="I168" s="158">
        <v>50000</v>
      </c>
      <c r="J168" s="159"/>
      <c r="K168" s="158">
        <v>50000</v>
      </c>
      <c r="L168" s="159">
        <v>50000</v>
      </c>
      <c r="M168" s="158">
        <v>50000</v>
      </c>
      <c r="N168" s="159">
        <v>50000</v>
      </c>
      <c r="O168" s="158">
        <v>50000</v>
      </c>
      <c r="P168" s="159">
        <v>50000</v>
      </c>
      <c r="Q168" s="165">
        <f t="shared" si="111"/>
        <v>0</v>
      </c>
      <c r="R168" s="166">
        <f t="shared" si="111"/>
        <v>0</v>
      </c>
      <c r="S168" s="156"/>
      <c r="T168" s="160"/>
      <c r="U168" s="157"/>
      <c r="V168" s="161">
        <v>50000</v>
      </c>
      <c r="W168" s="158">
        <v>50000</v>
      </c>
      <c r="X168" s="160"/>
      <c r="Y168" s="160"/>
      <c r="Z168" s="160"/>
      <c r="AA168" s="160">
        <f>W168</f>
        <v>50000</v>
      </c>
      <c r="AB168" s="159"/>
      <c r="AC168" s="158">
        <f>V168-W168</f>
        <v>0</v>
      </c>
      <c r="AD168" s="160"/>
      <c r="AE168" s="160"/>
      <c r="AF168" s="157"/>
      <c r="AG168" s="157"/>
      <c r="AH168" s="159"/>
      <c r="AI168" s="35">
        <f t="shared" si="110"/>
        <v>0</v>
      </c>
      <c r="AJ168" s="11">
        <f t="shared" si="110"/>
        <v>0</v>
      </c>
      <c r="AK168" s="11">
        <f t="shared" si="110"/>
        <v>0</v>
      </c>
      <c r="AL168" s="11">
        <f t="shared" si="110"/>
        <v>50000</v>
      </c>
      <c r="AM168" s="76">
        <f t="shared" si="110"/>
        <v>0</v>
      </c>
      <c r="AN168" s="51">
        <f>SUM(AJ168:AM168)</f>
        <v>50000</v>
      </c>
      <c r="AO168" s="36"/>
      <c r="AP168" s="9"/>
      <c r="AQ168" s="9"/>
      <c r="AR168" s="9"/>
      <c r="AS168" s="9"/>
      <c r="AT168" s="9"/>
      <c r="AU168" s="9"/>
      <c r="AV168" s="9">
        <f>AU168+AT168+AS168+AR168</f>
        <v>0</v>
      </c>
      <c r="AW168" s="10">
        <f>AP168-AQ168-AV168</f>
        <v>0</v>
      </c>
      <c r="AY168" s="11">
        <f t="shared" si="93"/>
        <v>0</v>
      </c>
    </row>
    <row r="169" spans="5:54" ht="60" customHeight="1" x14ac:dyDescent="0.2">
      <c r="E169" s="149"/>
      <c r="F169" s="127" t="s">
        <v>92</v>
      </c>
      <c r="G169" s="118">
        <f t="shared" ref="G169:AV169" si="112">SUM(G164:G168)</f>
        <v>4225000</v>
      </c>
      <c r="H169" s="116">
        <f t="shared" si="112"/>
        <v>625000</v>
      </c>
      <c r="I169" s="115">
        <f t="shared" si="112"/>
        <v>3700000</v>
      </c>
      <c r="J169" s="117">
        <f t="shared" si="112"/>
        <v>650000</v>
      </c>
      <c r="K169" s="115">
        <f t="shared" si="112"/>
        <v>4400000</v>
      </c>
      <c r="L169" s="117">
        <f t="shared" si="112"/>
        <v>900000</v>
      </c>
      <c r="M169" s="115">
        <f t="shared" si="112"/>
        <v>4705000</v>
      </c>
      <c r="N169" s="117">
        <f t="shared" si="112"/>
        <v>4461500</v>
      </c>
      <c r="O169" s="115">
        <f t="shared" si="112"/>
        <v>4420000</v>
      </c>
      <c r="P169" s="117">
        <f t="shared" si="112"/>
        <v>1417000</v>
      </c>
      <c r="Q169" s="115">
        <f t="shared" si="112"/>
        <v>-285000</v>
      </c>
      <c r="R169" s="117">
        <f t="shared" si="112"/>
        <v>-3044500</v>
      </c>
      <c r="S169" s="118">
        <f t="shared" si="112"/>
        <v>310000</v>
      </c>
      <c r="T169" s="120">
        <f t="shared" si="112"/>
        <v>0</v>
      </c>
      <c r="U169" s="116">
        <f t="shared" si="112"/>
        <v>310000</v>
      </c>
      <c r="V169" s="119">
        <f t="shared" si="112"/>
        <v>4480000</v>
      </c>
      <c r="W169" s="115">
        <f t="shared" ref="W169:AM169" si="113">SUM(W164:W168)</f>
        <v>4480000</v>
      </c>
      <c r="X169" s="120">
        <f t="shared" si="113"/>
        <v>3227000</v>
      </c>
      <c r="Y169" s="120">
        <f t="shared" si="113"/>
        <v>0</v>
      </c>
      <c r="Z169" s="120">
        <f t="shared" si="113"/>
        <v>0</v>
      </c>
      <c r="AA169" s="120">
        <f t="shared" si="113"/>
        <v>1253000</v>
      </c>
      <c r="AB169" s="117">
        <f t="shared" si="113"/>
        <v>0</v>
      </c>
      <c r="AC169" s="115">
        <f t="shared" si="113"/>
        <v>0</v>
      </c>
      <c r="AD169" s="120">
        <f t="shared" si="113"/>
        <v>0</v>
      </c>
      <c r="AE169" s="120">
        <f t="shared" si="113"/>
        <v>0</v>
      </c>
      <c r="AF169" s="116">
        <f t="shared" si="113"/>
        <v>0</v>
      </c>
      <c r="AG169" s="116">
        <f t="shared" si="113"/>
        <v>0</v>
      </c>
      <c r="AH169" s="117">
        <f t="shared" si="113"/>
        <v>0</v>
      </c>
      <c r="AI169" s="47">
        <f t="shared" si="113"/>
        <v>3227000</v>
      </c>
      <c r="AJ169" s="10">
        <f t="shared" si="113"/>
        <v>0</v>
      </c>
      <c r="AK169" s="10">
        <f t="shared" si="113"/>
        <v>0</v>
      </c>
      <c r="AL169" s="10">
        <f t="shared" si="113"/>
        <v>1253000</v>
      </c>
      <c r="AM169" s="48">
        <f t="shared" si="113"/>
        <v>0</v>
      </c>
      <c r="AN169" s="52">
        <f t="shared" si="112"/>
        <v>1253000</v>
      </c>
      <c r="AO169" s="39">
        <f t="shared" si="112"/>
        <v>0</v>
      </c>
      <c r="AP169" s="10">
        <f t="shared" si="112"/>
        <v>0</v>
      </c>
      <c r="AQ169" s="10">
        <f t="shared" si="112"/>
        <v>0</v>
      </c>
      <c r="AR169" s="10">
        <f t="shared" si="112"/>
        <v>0</v>
      </c>
      <c r="AS169" s="10">
        <f t="shared" si="112"/>
        <v>0</v>
      </c>
      <c r="AT169" s="10">
        <f t="shared" si="112"/>
        <v>0</v>
      </c>
      <c r="AU169" s="10">
        <f t="shared" si="112"/>
        <v>0</v>
      </c>
      <c r="AV169" s="10">
        <f t="shared" si="112"/>
        <v>0</v>
      </c>
      <c r="AW169" s="10">
        <f>AP169-AQ169-AV169</f>
        <v>0</v>
      </c>
      <c r="AY169" s="11">
        <f t="shared" si="93"/>
        <v>0</v>
      </c>
    </row>
    <row r="170" spans="5:54" ht="60" customHeight="1" x14ac:dyDescent="0.2">
      <c r="E170" s="149"/>
      <c r="F170" s="127" t="s">
        <v>93</v>
      </c>
      <c r="G170" s="118">
        <f t="shared" ref="G170:AV170" si="114">G169+G162+G157+G154+G145+G127+G112</f>
        <v>34793000</v>
      </c>
      <c r="H170" s="116">
        <f t="shared" si="114"/>
        <v>20683521</v>
      </c>
      <c r="I170" s="115">
        <f t="shared" si="114"/>
        <v>32721000</v>
      </c>
      <c r="J170" s="117">
        <f t="shared" si="114"/>
        <v>25445000</v>
      </c>
      <c r="K170" s="115">
        <f t="shared" si="114"/>
        <v>34520750</v>
      </c>
      <c r="L170" s="117">
        <f t="shared" si="114"/>
        <v>27641270</v>
      </c>
      <c r="M170" s="115">
        <f t="shared" si="114"/>
        <v>39415000</v>
      </c>
      <c r="N170" s="117">
        <f t="shared" si="114"/>
        <v>36250683</v>
      </c>
      <c r="O170" s="115">
        <f t="shared" si="114"/>
        <v>90975000</v>
      </c>
      <c r="P170" s="117">
        <f t="shared" si="114"/>
        <v>81877684</v>
      </c>
      <c r="Q170" s="115">
        <f t="shared" si="114"/>
        <v>51560000</v>
      </c>
      <c r="R170" s="117">
        <f t="shared" si="114"/>
        <v>45627001</v>
      </c>
      <c r="S170" s="118">
        <f t="shared" si="114"/>
        <v>21290000</v>
      </c>
      <c r="T170" s="120">
        <f t="shared" si="114"/>
        <v>3060000</v>
      </c>
      <c r="U170" s="116">
        <f t="shared" si="114"/>
        <v>18230000</v>
      </c>
      <c r="V170" s="119">
        <f t="shared" si="114"/>
        <v>49600000</v>
      </c>
      <c r="W170" s="115">
        <f t="shared" ref="W170:AM170" si="115">W169+W162+W157+W154+W145+W127+W112</f>
        <v>38420000</v>
      </c>
      <c r="X170" s="120">
        <f t="shared" si="115"/>
        <v>7611000</v>
      </c>
      <c r="Y170" s="120">
        <f t="shared" si="115"/>
        <v>1700000</v>
      </c>
      <c r="Z170" s="120">
        <f t="shared" si="115"/>
        <v>0</v>
      </c>
      <c r="AA170" s="120">
        <f t="shared" si="115"/>
        <v>16234000</v>
      </c>
      <c r="AB170" s="117">
        <f t="shared" si="115"/>
        <v>12875000</v>
      </c>
      <c r="AC170" s="115">
        <f t="shared" si="115"/>
        <v>11180000</v>
      </c>
      <c r="AD170" s="120">
        <f t="shared" si="115"/>
        <v>0</v>
      </c>
      <c r="AE170" s="120">
        <f t="shared" si="115"/>
        <v>0</v>
      </c>
      <c r="AF170" s="116">
        <f t="shared" si="115"/>
        <v>0</v>
      </c>
      <c r="AG170" s="116">
        <f t="shared" si="115"/>
        <v>6605000</v>
      </c>
      <c r="AH170" s="117">
        <f t="shared" si="115"/>
        <v>4575000</v>
      </c>
      <c r="AI170" s="47">
        <f t="shared" si="115"/>
        <v>7611000</v>
      </c>
      <c r="AJ170" s="10">
        <f t="shared" si="115"/>
        <v>1700000</v>
      </c>
      <c r="AK170" s="10">
        <f t="shared" si="115"/>
        <v>0</v>
      </c>
      <c r="AL170" s="10">
        <f t="shared" si="115"/>
        <v>22839000</v>
      </c>
      <c r="AM170" s="48">
        <f t="shared" si="115"/>
        <v>17450000</v>
      </c>
      <c r="AN170" s="52">
        <f t="shared" si="114"/>
        <v>40789000</v>
      </c>
      <c r="AO170" s="39">
        <f t="shared" si="114"/>
        <v>0</v>
      </c>
      <c r="AP170" s="10">
        <f t="shared" si="114"/>
        <v>0</v>
      </c>
      <c r="AQ170" s="10">
        <f t="shared" si="114"/>
        <v>0</v>
      </c>
      <c r="AR170" s="10">
        <f t="shared" si="114"/>
        <v>0</v>
      </c>
      <c r="AS170" s="10">
        <f t="shared" si="114"/>
        <v>0</v>
      </c>
      <c r="AT170" s="10">
        <f t="shared" si="114"/>
        <v>0</v>
      </c>
      <c r="AU170" s="10">
        <f t="shared" si="114"/>
        <v>0</v>
      </c>
      <c r="AV170" s="10">
        <f t="shared" si="114"/>
        <v>0</v>
      </c>
      <c r="AW170" s="10">
        <f>AP170-AQ170-AV170</f>
        <v>0</v>
      </c>
      <c r="AY170" s="11">
        <f t="shared" si="93"/>
        <v>0</v>
      </c>
      <c r="BB170" s="61">
        <f>AM170+AL170+AK170+AJ170+AI170</f>
        <v>49600000</v>
      </c>
    </row>
    <row r="171" spans="5:54" ht="60" customHeight="1" x14ac:dyDescent="0.2">
      <c r="E171" s="151">
        <v>30800</v>
      </c>
      <c r="F171" s="155" t="s">
        <v>94</v>
      </c>
      <c r="G171" s="156"/>
      <c r="H171" s="157"/>
      <c r="I171" s="158"/>
      <c r="J171" s="159"/>
      <c r="K171" s="158"/>
      <c r="L171" s="159"/>
      <c r="M171" s="158"/>
      <c r="N171" s="159"/>
      <c r="O171" s="158"/>
      <c r="P171" s="159"/>
      <c r="Q171" s="158"/>
      <c r="R171" s="159"/>
      <c r="S171" s="156"/>
      <c r="T171" s="160"/>
      <c r="U171" s="157"/>
      <c r="V171" s="161"/>
      <c r="W171" s="158"/>
      <c r="X171" s="160"/>
      <c r="Y171" s="160"/>
      <c r="Z171" s="160"/>
      <c r="AA171" s="160"/>
      <c r="AB171" s="159"/>
      <c r="AC171" s="158"/>
      <c r="AD171" s="160"/>
      <c r="AE171" s="160"/>
      <c r="AF171" s="157"/>
      <c r="AG171" s="157"/>
      <c r="AH171" s="159"/>
      <c r="AI171" s="45"/>
      <c r="AJ171" s="9"/>
      <c r="AK171" s="9"/>
      <c r="AL171" s="9"/>
      <c r="AM171" s="46"/>
      <c r="AN171" s="50"/>
      <c r="AO171" s="36"/>
      <c r="AP171" s="9"/>
      <c r="AQ171" s="9"/>
      <c r="AR171" s="9"/>
      <c r="AS171" s="9"/>
      <c r="AT171" s="9"/>
      <c r="AU171" s="9"/>
      <c r="AV171" s="9"/>
      <c r="AW171" s="10">
        <f>AP171-AQ171-AV171</f>
        <v>0</v>
      </c>
      <c r="AY171" s="11">
        <f t="shared" si="93"/>
        <v>0</v>
      </c>
    </row>
    <row r="172" spans="5:54" ht="60" customHeight="1" x14ac:dyDescent="0.2">
      <c r="E172" s="151">
        <f>E171+1</f>
        <v>30801</v>
      </c>
      <c r="F172" s="170" t="s">
        <v>285</v>
      </c>
      <c r="G172" s="156">
        <v>540000</v>
      </c>
      <c r="H172" s="157">
        <v>11290000</v>
      </c>
      <c r="I172" s="158">
        <v>920000</v>
      </c>
      <c r="J172" s="159">
        <v>650000</v>
      </c>
      <c r="K172" s="158">
        <v>500000</v>
      </c>
      <c r="L172" s="159">
        <v>500000</v>
      </c>
      <c r="M172" s="158">
        <v>500000</v>
      </c>
      <c r="N172" s="159">
        <v>500000</v>
      </c>
      <c r="O172" s="158">
        <v>1200000</v>
      </c>
      <c r="P172" s="159">
        <v>550000</v>
      </c>
      <c r="Q172" s="165">
        <f>O172-M172</f>
        <v>700000</v>
      </c>
      <c r="R172" s="166">
        <f>P172-N172</f>
        <v>50000</v>
      </c>
      <c r="S172" s="156">
        <v>250000</v>
      </c>
      <c r="T172" s="160"/>
      <c r="U172" s="157">
        <f>+S172</f>
        <v>250000</v>
      </c>
      <c r="V172" s="161">
        <v>500000</v>
      </c>
      <c r="W172" s="158">
        <v>500000</v>
      </c>
      <c r="X172" s="160"/>
      <c r="Y172" s="160"/>
      <c r="Z172" s="160"/>
      <c r="AA172" s="160">
        <f>W172/2</f>
        <v>250000</v>
      </c>
      <c r="AB172" s="159">
        <f>W172/2</f>
        <v>250000</v>
      </c>
      <c r="AC172" s="158">
        <f>V172-W172</f>
        <v>0</v>
      </c>
      <c r="AD172" s="160"/>
      <c r="AE172" s="160">
        <f>AC172/2</f>
        <v>0</v>
      </c>
      <c r="AF172" s="157"/>
      <c r="AG172" s="157"/>
      <c r="AH172" s="159">
        <f>AC172/2</f>
        <v>0</v>
      </c>
      <c r="AI172" s="35">
        <f t="shared" ref="AI172:AI192" si="116">AD172+X172</f>
        <v>0</v>
      </c>
      <c r="AJ172" s="11">
        <f t="shared" ref="AJ172:AJ192" si="117">AE172+Y172</f>
        <v>0</v>
      </c>
      <c r="AK172" s="11">
        <f t="shared" ref="AK172:AK192" si="118">AF172+Z172</f>
        <v>0</v>
      </c>
      <c r="AL172" s="11">
        <f t="shared" ref="AL172:AL192" si="119">AG172+AA172</f>
        <v>250000</v>
      </c>
      <c r="AM172" s="76">
        <f t="shared" ref="AM172:AM192" si="120">AH172+AB172</f>
        <v>250000</v>
      </c>
      <c r="AN172" s="51">
        <f t="shared" ref="AN172:AN192" si="121">SUM(AJ172:AM172)</f>
        <v>500000</v>
      </c>
      <c r="AO172" s="36"/>
      <c r="AP172" s="9"/>
      <c r="AQ172" s="9"/>
      <c r="AR172" s="9"/>
      <c r="AS172" s="9"/>
      <c r="AT172" s="9"/>
      <c r="AU172" s="9"/>
      <c r="AV172" s="9">
        <f t="shared" ref="AV172:AV190" si="122">AU172+AT172+AS172+AR172</f>
        <v>0</v>
      </c>
      <c r="AW172" s="10"/>
      <c r="AY172" s="11">
        <f t="shared" si="93"/>
        <v>0</v>
      </c>
    </row>
    <row r="173" spans="5:54" ht="60" customHeight="1" x14ac:dyDescent="0.2">
      <c r="E173" s="151">
        <f t="shared" ref="E173:E192" si="123">E172+1</f>
        <v>30802</v>
      </c>
      <c r="F173" s="170" t="s">
        <v>286</v>
      </c>
      <c r="G173" s="156">
        <v>1020000</v>
      </c>
      <c r="H173" s="157">
        <f>G173</f>
        <v>1020000</v>
      </c>
      <c r="I173" s="158">
        <v>1300000</v>
      </c>
      <c r="J173" s="159">
        <f>I173</f>
        <v>1300000</v>
      </c>
      <c r="K173" s="158">
        <v>1620000</v>
      </c>
      <c r="L173" s="159">
        <v>1620000</v>
      </c>
      <c r="M173" s="158">
        <v>2000000</v>
      </c>
      <c r="N173" s="159">
        <v>2150000</v>
      </c>
      <c r="O173" s="158">
        <v>6800000</v>
      </c>
      <c r="P173" s="159">
        <v>7800000</v>
      </c>
      <c r="Q173" s="165">
        <f t="shared" ref="Q173:R192" si="124">O173-M173</f>
        <v>4800000</v>
      </c>
      <c r="R173" s="166">
        <f t="shared" si="124"/>
        <v>5650000</v>
      </c>
      <c r="S173" s="156">
        <v>150000</v>
      </c>
      <c r="T173" s="160"/>
      <c r="U173" s="157">
        <f>+S173</f>
        <v>150000</v>
      </c>
      <c r="V173" s="161">
        <f>650000+3200000+700000+1900000+250000</f>
        <v>6700000</v>
      </c>
      <c r="W173" s="158">
        <v>2000000</v>
      </c>
      <c r="X173" s="160"/>
      <c r="Y173" s="160"/>
      <c r="Z173" s="160"/>
      <c r="AA173" s="160">
        <f>W173</f>
        <v>2000000</v>
      </c>
      <c r="AB173" s="159"/>
      <c r="AC173" s="158">
        <v>4700000</v>
      </c>
      <c r="AD173" s="160"/>
      <c r="AE173" s="160"/>
      <c r="AF173" s="157"/>
      <c r="AG173" s="157">
        <f>AC173</f>
        <v>4700000</v>
      </c>
      <c r="AH173" s="159"/>
      <c r="AI173" s="35">
        <f t="shared" si="116"/>
        <v>0</v>
      </c>
      <c r="AJ173" s="11">
        <f t="shared" si="117"/>
        <v>0</v>
      </c>
      <c r="AK173" s="11">
        <f t="shared" si="118"/>
        <v>0</v>
      </c>
      <c r="AL173" s="11">
        <f t="shared" si="119"/>
        <v>6700000</v>
      </c>
      <c r="AM173" s="76">
        <f t="shared" si="120"/>
        <v>0</v>
      </c>
      <c r="AN173" s="51">
        <f t="shared" si="121"/>
        <v>6700000</v>
      </c>
      <c r="AO173" s="36"/>
      <c r="AP173" s="9"/>
      <c r="AQ173" s="9"/>
      <c r="AR173" s="9"/>
      <c r="AS173" s="9"/>
      <c r="AT173" s="9"/>
      <c r="AU173" s="9"/>
      <c r="AV173" s="9">
        <f t="shared" si="122"/>
        <v>0</v>
      </c>
      <c r="AW173" s="10"/>
      <c r="AY173" s="11">
        <f t="shared" si="93"/>
        <v>0</v>
      </c>
    </row>
    <row r="174" spans="5:54" ht="60" customHeight="1" x14ac:dyDescent="0.2">
      <c r="E174" s="151">
        <f t="shared" si="123"/>
        <v>30803</v>
      </c>
      <c r="F174" s="170" t="s">
        <v>287</v>
      </c>
      <c r="G174" s="156">
        <v>3000000</v>
      </c>
      <c r="H174" s="157">
        <f>G174</f>
        <v>3000000</v>
      </c>
      <c r="I174" s="158">
        <v>700000</v>
      </c>
      <c r="J174" s="159"/>
      <c r="K174" s="158">
        <v>200000</v>
      </c>
      <c r="L174" s="159">
        <v>200000</v>
      </c>
      <c r="M174" s="158"/>
      <c r="N174" s="159"/>
      <c r="O174" s="158">
        <v>200000</v>
      </c>
      <c r="P174" s="159">
        <v>200000</v>
      </c>
      <c r="Q174" s="165">
        <f t="shared" si="124"/>
        <v>200000</v>
      </c>
      <c r="R174" s="166">
        <f t="shared" si="124"/>
        <v>200000</v>
      </c>
      <c r="S174" s="156">
        <v>230000</v>
      </c>
      <c r="T174" s="160"/>
      <c r="U174" s="164">
        <f>+S174</f>
        <v>230000</v>
      </c>
      <c r="V174" s="161">
        <v>200000</v>
      </c>
      <c r="W174" s="158">
        <v>200000</v>
      </c>
      <c r="X174" s="160"/>
      <c r="Y174" s="160"/>
      <c r="Z174" s="160"/>
      <c r="AA174" s="160">
        <f>W174/2</f>
        <v>100000</v>
      </c>
      <c r="AB174" s="159">
        <f>W174/2</f>
        <v>100000</v>
      </c>
      <c r="AC174" s="158">
        <f t="shared" ref="AC174:AC192" si="125">V174-W174</f>
        <v>0</v>
      </c>
      <c r="AD174" s="160"/>
      <c r="AE174" s="160">
        <f>AC174/2</f>
        <v>0</v>
      </c>
      <c r="AF174" s="157"/>
      <c r="AG174" s="157"/>
      <c r="AH174" s="159">
        <f>AC174/2</f>
        <v>0</v>
      </c>
      <c r="AI174" s="35">
        <f t="shared" si="116"/>
        <v>0</v>
      </c>
      <c r="AJ174" s="11">
        <f t="shared" si="117"/>
        <v>0</v>
      </c>
      <c r="AK174" s="11">
        <f t="shared" si="118"/>
        <v>0</v>
      </c>
      <c r="AL174" s="11">
        <f t="shared" si="119"/>
        <v>100000</v>
      </c>
      <c r="AM174" s="76">
        <f t="shared" si="120"/>
        <v>100000</v>
      </c>
      <c r="AN174" s="51">
        <f t="shared" si="121"/>
        <v>200000</v>
      </c>
      <c r="AO174" s="36"/>
      <c r="AP174" s="9"/>
      <c r="AQ174" s="9"/>
      <c r="AR174" s="9"/>
      <c r="AS174" s="9"/>
      <c r="AT174" s="9"/>
      <c r="AU174" s="9"/>
      <c r="AV174" s="9">
        <f t="shared" si="122"/>
        <v>0</v>
      </c>
      <c r="AW174" s="10"/>
      <c r="AY174" s="11">
        <f t="shared" si="93"/>
        <v>0</v>
      </c>
    </row>
    <row r="175" spans="5:54" ht="60" customHeight="1" x14ac:dyDescent="0.2">
      <c r="E175" s="151">
        <f t="shared" si="123"/>
        <v>30804</v>
      </c>
      <c r="F175" s="170" t="s">
        <v>380</v>
      </c>
      <c r="G175" s="156">
        <v>50000</v>
      </c>
      <c r="H175" s="157"/>
      <c r="I175" s="158">
        <v>50000</v>
      </c>
      <c r="J175" s="159"/>
      <c r="K175" s="158">
        <v>50000</v>
      </c>
      <c r="L175" s="159">
        <v>50000</v>
      </c>
      <c r="M175" s="158"/>
      <c r="N175" s="159"/>
      <c r="O175" s="158">
        <v>100000</v>
      </c>
      <c r="P175" s="159">
        <v>100000</v>
      </c>
      <c r="Q175" s="165">
        <f t="shared" si="124"/>
        <v>100000</v>
      </c>
      <c r="R175" s="166">
        <f t="shared" si="124"/>
        <v>100000</v>
      </c>
      <c r="S175" s="156"/>
      <c r="T175" s="160"/>
      <c r="U175" s="157">
        <f>+S175</f>
        <v>0</v>
      </c>
      <c r="V175" s="161">
        <v>100000</v>
      </c>
      <c r="W175" s="158">
        <v>100000</v>
      </c>
      <c r="X175" s="160"/>
      <c r="Y175" s="160">
        <f>W175</f>
        <v>100000</v>
      </c>
      <c r="Z175" s="160"/>
      <c r="AA175" s="160"/>
      <c r="AB175" s="159"/>
      <c r="AC175" s="158">
        <f t="shared" si="125"/>
        <v>0</v>
      </c>
      <c r="AD175" s="160"/>
      <c r="AE175" s="160"/>
      <c r="AF175" s="157"/>
      <c r="AG175" s="157"/>
      <c r="AH175" s="159"/>
      <c r="AI175" s="35">
        <f t="shared" si="116"/>
        <v>0</v>
      </c>
      <c r="AJ175" s="11">
        <f t="shared" si="117"/>
        <v>100000</v>
      </c>
      <c r="AK175" s="11">
        <f t="shared" si="118"/>
        <v>0</v>
      </c>
      <c r="AL175" s="11">
        <f t="shared" si="119"/>
        <v>0</v>
      </c>
      <c r="AM175" s="76">
        <f t="shared" si="120"/>
        <v>0</v>
      </c>
      <c r="AN175" s="51">
        <f t="shared" si="121"/>
        <v>100000</v>
      </c>
      <c r="AO175" s="36"/>
      <c r="AP175" s="9"/>
      <c r="AQ175" s="9"/>
      <c r="AR175" s="9"/>
      <c r="AS175" s="9"/>
      <c r="AT175" s="9"/>
      <c r="AU175" s="9"/>
      <c r="AV175" s="9">
        <f t="shared" si="122"/>
        <v>0</v>
      </c>
      <c r="AW175" s="10"/>
      <c r="AY175" s="11">
        <f t="shared" si="93"/>
        <v>0</v>
      </c>
    </row>
    <row r="176" spans="5:54" ht="60" customHeight="1" x14ac:dyDescent="0.2">
      <c r="E176" s="151">
        <f t="shared" si="123"/>
        <v>30805</v>
      </c>
      <c r="F176" s="170" t="s">
        <v>331</v>
      </c>
      <c r="G176" s="156"/>
      <c r="H176" s="157"/>
      <c r="I176" s="158"/>
      <c r="J176" s="159"/>
      <c r="K176" s="158"/>
      <c r="L176" s="159"/>
      <c r="M176" s="158"/>
      <c r="N176" s="159"/>
      <c r="O176" s="158"/>
      <c r="P176" s="159"/>
      <c r="Q176" s="165">
        <f t="shared" si="124"/>
        <v>0</v>
      </c>
      <c r="R176" s="166">
        <f t="shared" si="124"/>
        <v>0</v>
      </c>
      <c r="S176" s="156"/>
      <c r="T176" s="160"/>
      <c r="U176" s="157"/>
      <c r="V176" s="161">
        <v>250000</v>
      </c>
      <c r="W176" s="158">
        <v>250000</v>
      </c>
      <c r="X176" s="160"/>
      <c r="Y176" s="160">
        <f>W176</f>
        <v>250000</v>
      </c>
      <c r="Z176" s="160"/>
      <c r="AA176" s="160"/>
      <c r="AB176" s="159"/>
      <c r="AC176" s="158">
        <f t="shared" si="125"/>
        <v>0</v>
      </c>
      <c r="AD176" s="160"/>
      <c r="AE176" s="160"/>
      <c r="AF176" s="157"/>
      <c r="AG176" s="157"/>
      <c r="AH176" s="159"/>
      <c r="AI176" s="35">
        <f t="shared" si="116"/>
        <v>0</v>
      </c>
      <c r="AJ176" s="11">
        <f t="shared" si="117"/>
        <v>250000</v>
      </c>
      <c r="AK176" s="11">
        <f t="shared" si="118"/>
        <v>0</v>
      </c>
      <c r="AL176" s="11">
        <f t="shared" si="119"/>
        <v>0</v>
      </c>
      <c r="AM176" s="76">
        <f t="shared" si="120"/>
        <v>0</v>
      </c>
      <c r="AN176" s="51">
        <f>SUM(AJ176:AM176)</f>
        <v>250000</v>
      </c>
      <c r="AO176" s="36"/>
      <c r="AP176" s="9"/>
      <c r="AQ176" s="9"/>
      <c r="AR176" s="9"/>
      <c r="AS176" s="9"/>
      <c r="AT176" s="9"/>
      <c r="AU176" s="9"/>
      <c r="AV176" s="9"/>
      <c r="AW176" s="10"/>
      <c r="AY176" s="11">
        <f t="shared" si="93"/>
        <v>0</v>
      </c>
    </row>
    <row r="177" spans="5:51" ht="60" customHeight="1" x14ac:dyDescent="0.2">
      <c r="E177" s="151">
        <f t="shared" si="123"/>
        <v>30806</v>
      </c>
      <c r="F177" s="170" t="s">
        <v>501</v>
      </c>
      <c r="G177" s="156"/>
      <c r="H177" s="157"/>
      <c r="I177" s="158"/>
      <c r="J177" s="159"/>
      <c r="K177" s="158"/>
      <c r="L177" s="159"/>
      <c r="M177" s="158"/>
      <c r="N177" s="159"/>
      <c r="O177" s="158"/>
      <c r="P177" s="159"/>
      <c r="Q177" s="165"/>
      <c r="R177" s="166"/>
      <c r="S177" s="156"/>
      <c r="T177" s="160"/>
      <c r="U177" s="157"/>
      <c r="V177" s="161">
        <v>150000</v>
      </c>
      <c r="W177" s="158">
        <v>0</v>
      </c>
      <c r="X177" s="160"/>
      <c r="Y177" s="160">
        <f>W177</f>
        <v>0</v>
      </c>
      <c r="Z177" s="160"/>
      <c r="AA177" s="160"/>
      <c r="AB177" s="159"/>
      <c r="AC177" s="158">
        <f t="shared" si="125"/>
        <v>150000</v>
      </c>
      <c r="AD177" s="160"/>
      <c r="AE177" s="160"/>
      <c r="AF177" s="157"/>
      <c r="AG177" s="157">
        <f>AC177</f>
        <v>150000</v>
      </c>
      <c r="AH177" s="159"/>
      <c r="AI177" s="35">
        <f t="shared" si="116"/>
        <v>0</v>
      </c>
      <c r="AJ177" s="11">
        <f t="shared" si="117"/>
        <v>0</v>
      </c>
      <c r="AK177" s="11">
        <f t="shared" si="118"/>
        <v>0</v>
      </c>
      <c r="AL177" s="11">
        <f t="shared" si="119"/>
        <v>150000</v>
      </c>
      <c r="AM177" s="76">
        <f t="shared" si="120"/>
        <v>0</v>
      </c>
      <c r="AN177" s="51">
        <f>SUM(AJ177:AM177)</f>
        <v>150000</v>
      </c>
      <c r="AO177" s="36"/>
      <c r="AP177" s="9"/>
      <c r="AQ177" s="9"/>
      <c r="AR177" s="9"/>
      <c r="AS177" s="9"/>
      <c r="AT177" s="9"/>
      <c r="AU177" s="9"/>
      <c r="AV177" s="9"/>
      <c r="AW177" s="10"/>
      <c r="AY177" s="11">
        <f t="shared" si="93"/>
        <v>0</v>
      </c>
    </row>
    <row r="178" spans="5:51" ht="60" customHeight="1" x14ac:dyDescent="0.2">
      <c r="E178" s="151">
        <f t="shared" si="123"/>
        <v>30807</v>
      </c>
      <c r="F178" s="170" t="s">
        <v>96</v>
      </c>
      <c r="G178" s="156">
        <v>200000</v>
      </c>
      <c r="H178" s="157">
        <f>G178</f>
        <v>200000</v>
      </c>
      <c r="I178" s="158"/>
      <c r="J178" s="159"/>
      <c r="K178" s="158">
        <v>500000</v>
      </c>
      <c r="L178" s="159"/>
      <c r="M178" s="158">
        <v>500000</v>
      </c>
      <c r="N178" s="159"/>
      <c r="O178" s="158">
        <v>500000</v>
      </c>
      <c r="P178" s="159">
        <v>424000</v>
      </c>
      <c r="Q178" s="165">
        <f t="shared" si="124"/>
        <v>0</v>
      </c>
      <c r="R178" s="166">
        <f t="shared" si="124"/>
        <v>424000</v>
      </c>
      <c r="S178" s="156"/>
      <c r="T178" s="160"/>
      <c r="U178" s="157"/>
      <c r="V178" s="161">
        <v>500000</v>
      </c>
      <c r="W178" s="158">
        <v>100000</v>
      </c>
      <c r="X178" s="160"/>
      <c r="Y178" s="160"/>
      <c r="Z178" s="160"/>
      <c r="AA178" s="160">
        <f>W178/2</f>
        <v>50000</v>
      </c>
      <c r="AB178" s="159">
        <f>W178/2</f>
        <v>50000</v>
      </c>
      <c r="AC178" s="158">
        <f t="shared" si="125"/>
        <v>400000</v>
      </c>
      <c r="AD178" s="160"/>
      <c r="AE178" s="160"/>
      <c r="AF178" s="157"/>
      <c r="AG178" s="160">
        <f>AC178/2</f>
        <v>200000</v>
      </c>
      <c r="AH178" s="159">
        <f>AC178/2</f>
        <v>200000</v>
      </c>
      <c r="AI178" s="35">
        <f t="shared" si="116"/>
        <v>0</v>
      </c>
      <c r="AJ178" s="11">
        <f t="shared" si="117"/>
        <v>0</v>
      </c>
      <c r="AK178" s="11">
        <f t="shared" si="118"/>
        <v>0</v>
      </c>
      <c r="AL178" s="11">
        <f t="shared" si="119"/>
        <v>250000</v>
      </c>
      <c r="AM178" s="76">
        <f t="shared" si="120"/>
        <v>250000</v>
      </c>
      <c r="AN178" s="51">
        <f t="shared" si="121"/>
        <v>500000</v>
      </c>
      <c r="AO178" s="36"/>
      <c r="AP178" s="9"/>
      <c r="AQ178" s="9"/>
      <c r="AR178" s="9"/>
      <c r="AS178" s="9"/>
      <c r="AT178" s="9"/>
      <c r="AU178" s="9"/>
      <c r="AV178" s="9">
        <f t="shared" si="122"/>
        <v>0</v>
      </c>
      <c r="AW178" s="10"/>
      <c r="AY178" s="11">
        <f t="shared" si="93"/>
        <v>0</v>
      </c>
    </row>
    <row r="179" spans="5:51" ht="66.75" customHeight="1" x14ac:dyDescent="0.2">
      <c r="E179" s="151">
        <f t="shared" si="123"/>
        <v>30808</v>
      </c>
      <c r="F179" s="170" t="s">
        <v>332</v>
      </c>
      <c r="G179" s="156"/>
      <c r="H179" s="157"/>
      <c r="I179" s="158"/>
      <c r="J179" s="159"/>
      <c r="K179" s="158"/>
      <c r="L179" s="159"/>
      <c r="M179" s="158">
        <v>100000</v>
      </c>
      <c r="N179" s="159">
        <v>100000</v>
      </c>
      <c r="O179" s="158">
        <v>100000</v>
      </c>
      <c r="P179" s="159">
        <v>100000</v>
      </c>
      <c r="Q179" s="165">
        <f t="shared" si="124"/>
        <v>0</v>
      </c>
      <c r="R179" s="166">
        <f t="shared" si="124"/>
        <v>0</v>
      </c>
      <c r="S179" s="156"/>
      <c r="T179" s="160"/>
      <c r="U179" s="157"/>
      <c r="V179" s="161">
        <v>100000</v>
      </c>
      <c r="W179" s="158">
        <v>100000</v>
      </c>
      <c r="X179" s="160"/>
      <c r="Y179" s="160"/>
      <c r="Z179" s="160"/>
      <c r="AA179" s="160">
        <f>W179/2</f>
        <v>50000</v>
      </c>
      <c r="AB179" s="159">
        <f>W179/2</f>
        <v>50000</v>
      </c>
      <c r="AC179" s="158">
        <f t="shared" si="125"/>
        <v>0</v>
      </c>
      <c r="AD179" s="160"/>
      <c r="AE179" s="160">
        <f>AC179/2</f>
        <v>0</v>
      </c>
      <c r="AF179" s="157"/>
      <c r="AG179" s="157"/>
      <c r="AH179" s="159">
        <f>AC179/2</f>
        <v>0</v>
      </c>
      <c r="AI179" s="35">
        <f t="shared" si="116"/>
        <v>0</v>
      </c>
      <c r="AJ179" s="11">
        <f t="shared" si="117"/>
        <v>0</v>
      </c>
      <c r="AK179" s="11">
        <f t="shared" si="118"/>
        <v>0</v>
      </c>
      <c r="AL179" s="11">
        <f t="shared" si="119"/>
        <v>50000</v>
      </c>
      <c r="AM179" s="76">
        <f t="shared" si="120"/>
        <v>50000</v>
      </c>
      <c r="AN179" s="51">
        <f t="shared" si="121"/>
        <v>100000</v>
      </c>
      <c r="AO179" s="36"/>
      <c r="AP179" s="9"/>
      <c r="AQ179" s="9"/>
      <c r="AR179" s="9"/>
      <c r="AS179" s="9"/>
      <c r="AT179" s="9"/>
      <c r="AU179" s="9"/>
      <c r="AV179" s="9">
        <f t="shared" si="122"/>
        <v>0</v>
      </c>
      <c r="AW179" s="10"/>
      <c r="AY179" s="11">
        <f t="shared" si="93"/>
        <v>0</v>
      </c>
    </row>
    <row r="180" spans="5:51" ht="60" customHeight="1" x14ac:dyDescent="0.2">
      <c r="E180" s="151">
        <f t="shared" si="123"/>
        <v>30809</v>
      </c>
      <c r="F180" s="170" t="s">
        <v>361</v>
      </c>
      <c r="G180" s="156"/>
      <c r="H180" s="157"/>
      <c r="I180" s="158"/>
      <c r="J180" s="159"/>
      <c r="K180" s="158"/>
      <c r="L180" s="159"/>
      <c r="M180" s="158">
        <v>300000</v>
      </c>
      <c r="N180" s="159">
        <v>300000</v>
      </c>
      <c r="O180" s="158">
        <v>300000</v>
      </c>
      <c r="P180" s="159">
        <v>300000</v>
      </c>
      <c r="Q180" s="165">
        <f t="shared" si="124"/>
        <v>0</v>
      </c>
      <c r="R180" s="166">
        <f t="shared" si="124"/>
        <v>0</v>
      </c>
      <c r="S180" s="156">
        <v>70000</v>
      </c>
      <c r="T180" s="160"/>
      <c r="U180" s="157">
        <f>+S180</f>
        <v>70000</v>
      </c>
      <c r="V180" s="161">
        <v>300000</v>
      </c>
      <c r="W180" s="158">
        <v>300000</v>
      </c>
      <c r="X180" s="160"/>
      <c r="Y180" s="160"/>
      <c r="Z180" s="160"/>
      <c r="AA180" s="160">
        <f>W180</f>
        <v>300000</v>
      </c>
      <c r="AB180" s="159"/>
      <c r="AC180" s="158">
        <f t="shared" si="125"/>
        <v>0</v>
      </c>
      <c r="AD180" s="160"/>
      <c r="AE180" s="160"/>
      <c r="AF180" s="157"/>
      <c r="AG180" s="157"/>
      <c r="AH180" s="159"/>
      <c r="AI180" s="35">
        <f t="shared" si="116"/>
        <v>0</v>
      </c>
      <c r="AJ180" s="11">
        <f t="shared" si="117"/>
        <v>0</v>
      </c>
      <c r="AK180" s="11">
        <f t="shared" si="118"/>
        <v>0</v>
      </c>
      <c r="AL180" s="11">
        <f t="shared" si="119"/>
        <v>300000</v>
      </c>
      <c r="AM180" s="76">
        <f t="shared" si="120"/>
        <v>0</v>
      </c>
      <c r="AN180" s="51">
        <f t="shared" si="121"/>
        <v>300000</v>
      </c>
      <c r="AO180" s="36"/>
      <c r="AP180" s="9"/>
      <c r="AQ180" s="9"/>
      <c r="AR180" s="9"/>
      <c r="AS180" s="9"/>
      <c r="AT180" s="9"/>
      <c r="AU180" s="9"/>
      <c r="AV180" s="9"/>
      <c r="AW180" s="10"/>
      <c r="AY180" s="11">
        <f t="shared" si="93"/>
        <v>0</v>
      </c>
    </row>
    <row r="181" spans="5:51" ht="60" customHeight="1" x14ac:dyDescent="0.2">
      <c r="E181" s="151">
        <f t="shared" si="123"/>
        <v>30810</v>
      </c>
      <c r="F181" s="170" t="s">
        <v>333</v>
      </c>
      <c r="G181" s="156"/>
      <c r="H181" s="157"/>
      <c r="I181" s="158"/>
      <c r="J181" s="159"/>
      <c r="K181" s="158"/>
      <c r="L181" s="159"/>
      <c r="M181" s="158"/>
      <c r="N181" s="159"/>
      <c r="O181" s="158"/>
      <c r="P181" s="159"/>
      <c r="Q181" s="165">
        <f t="shared" si="124"/>
        <v>0</v>
      </c>
      <c r="R181" s="166">
        <f t="shared" si="124"/>
        <v>0</v>
      </c>
      <c r="S181" s="156"/>
      <c r="T181" s="160"/>
      <c r="U181" s="157"/>
      <c r="V181" s="161">
        <v>500000</v>
      </c>
      <c r="W181" s="158">
        <v>0</v>
      </c>
      <c r="X181" s="160"/>
      <c r="Y181" s="160">
        <f>W181</f>
        <v>0</v>
      </c>
      <c r="Z181" s="160"/>
      <c r="AA181" s="160"/>
      <c r="AB181" s="159"/>
      <c r="AC181" s="158">
        <f t="shared" si="125"/>
        <v>500000</v>
      </c>
      <c r="AD181" s="160"/>
      <c r="AE181" s="160"/>
      <c r="AF181" s="157"/>
      <c r="AG181" s="157">
        <f>AC181</f>
        <v>500000</v>
      </c>
      <c r="AH181" s="159"/>
      <c r="AI181" s="35">
        <f t="shared" si="116"/>
        <v>0</v>
      </c>
      <c r="AJ181" s="11">
        <f t="shared" si="117"/>
        <v>0</v>
      </c>
      <c r="AK181" s="11">
        <f t="shared" si="118"/>
        <v>0</v>
      </c>
      <c r="AL181" s="11">
        <f t="shared" si="119"/>
        <v>500000</v>
      </c>
      <c r="AM181" s="76">
        <f t="shared" si="120"/>
        <v>0</v>
      </c>
      <c r="AN181" s="51">
        <f t="shared" si="121"/>
        <v>500000</v>
      </c>
      <c r="AO181" s="36"/>
      <c r="AP181" s="9"/>
      <c r="AQ181" s="9"/>
      <c r="AR181" s="9"/>
      <c r="AS181" s="9"/>
      <c r="AT181" s="9"/>
      <c r="AU181" s="9"/>
      <c r="AV181" s="9">
        <f t="shared" si="122"/>
        <v>0</v>
      </c>
      <c r="AW181" s="10"/>
      <c r="AY181" s="11">
        <f t="shared" si="93"/>
        <v>0</v>
      </c>
    </row>
    <row r="182" spans="5:51" ht="60" customHeight="1" x14ac:dyDescent="0.2">
      <c r="E182" s="151">
        <f t="shared" si="123"/>
        <v>30811</v>
      </c>
      <c r="F182" s="170" t="s">
        <v>502</v>
      </c>
      <c r="G182" s="156"/>
      <c r="H182" s="157"/>
      <c r="I182" s="158"/>
      <c r="J182" s="159"/>
      <c r="K182" s="158"/>
      <c r="L182" s="159"/>
      <c r="M182" s="158"/>
      <c r="N182" s="159"/>
      <c r="O182" s="158"/>
      <c r="P182" s="159"/>
      <c r="Q182" s="165"/>
      <c r="R182" s="166"/>
      <c r="S182" s="156"/>
      <c r="T182" s="160"/>
      <c r="U182" s="157"/>
      <c r="V182" s="161">
        <v>300000</v>
      </c>
      <c r="W182" s="158">
        <v>0</v>
      </c>
      <c r="X182" s="160"/>
      <c r="Y182" s="160">
        <f>W182</f>
        <v>0</v>
      </c>
      <c r="Z182" s="160"/>
      <c r="AA182" s="160"/>
      <c r="AB182" s="159"/>
      <c r="AC182" s="158">
        <f t="shared" si="125"/>
        <v>300000</v>
      </c>
      <c r="AD182" s="160"/>
      <c r="AE182" s="160"/>
      <c r="AF182" s="157"/>
      <c r="AG182" s="157">
        <f>AC182</f>
        <v>300000</v>
      </c>
      <c r="AH182" s="159"/>
      <c r="AI182" s="35">
        <f t="shared" si="116"/>
        <v>0</v>
      </c>
      <c r="AJ182" s="11">
        <f t="shared" si="117"/>
        <v>0</v>
      </c>
      <c r="AK182" s="11">
        <f t="shared" si="118"/>
        <v>0</v>
      </c>
      <c r="AL182" s="11">
        <f t="shared" si="119"/>
        <v>300000</v>
      </c>
      <c r="AM182" s="76">
        <f t="shared" si="120"/>
        <v>0</v>
      </c>
      <c r="AN182" s="51">
        <f t="shared" si="121"/>
        <v>300000</v>
      </c>
      <c r="AO182" s="36"/>
      <c r="AP182" s="9"/>
      <c r="AQ182" s="9"/>
      <c r="AR182" s="9"/>
      <c r="AS182" s="9"/>
      <c r="AT182" s="9"/>
      <c r="AU182" s="9"/>
      <c r="AV182" s="9"/>
      <c r="AW182" s="10"/>
      <c r="AY182" s="11">
        <f t="shared" si="93"/>
        <v>0</v>
      </c>
    </row>
    <row r="183" spans="5:51" ht="60" customHeight="1" x14ac:dyDescent="0.2">
      <c r="E183" s="151">
        <f t="shared" si="123"/>
        <v>30812</v>
      </c>
      <c r="F183" s="170" t="s">
        <v>503</v>
      </c>
      <c r="G183" s="156"/>
      <c r="H183" s="157"/>
      <c r="I183" s="158"/>
      <c r="J183" s="159"/>
      <c r="K183" s="158"/>
      <c r="L183" s="159"/>
      <c r="M183" s="158"/>
      <c r="N183" s="159"/>
      <c r="O183" s="158"/>
      <c r="P183" s="159"/>
      <c r="Q183" s="165"/>
      <c r="R183" s="166"/>
      <c r="S183" s="156"/>
      <c r="T183" s="160"/>
      <c r="U183" s="157"/>
      <c r="V183" s="161">
        <v>500000</v>
      </c>
      <c r="W183" s="158">
        <v>0</v>
      </c>
      <c r="X183" s="160"/>
      <c r="Y183" s="160">
        <f>W183</f>
        <v>0</v>
      </c>
      <c r="Z183" s="160"/>
      <c r="AA183" s="160"/>
      <c r="AB183" s="159"/>
      <c r="AC183" s="158">
        <f t="shared" si="125"/>
        <v>500000</v>
      </c>
      <c r="AD183" s="160"/>
      <c r="AE183" s="160"/>
      <c r="AF183" s="157"/>
      <c r="AG183" s="157">
        <f>AC183</f>
        <v>500000</v>
      </c>
      <c r="AH183" s="159"/>
      <c r="AI183" s="35">
        <f t="shared" si="116"/>
        <v>0</v>
      </c>
      <c r="AJ183" s="11">
        <f t="shared" si="117"/>
        <v>0</v>
      </c>
      <c r="AK183" s="11">
        <f t="shared" si="118"/>
        <v>0</v>
      </c>
      <c r="AL183" s="11">
        <f t="shared" si="119"/>
        <v>500000</v>
      </c>
      <c r="AM183" s="76">
        <f t="shared" si="120"/>
        <v>0</v>
      </c>
      <c r="AN183" s="51">
        <f t="shared" si="121"/>
        <v>500000</v>
      </c>
      <c r="AO183" s="36"/>
      <c r="AP183" s="9"/>
      <c r="AQ183" s="9"/>
      <c r="AR183" s="9"/>
      <c r="AS183" s="9"/>
      <c r="AT183" s="9"/>
      <c r="AU183" s="9"/>
      <c r="AV183" s="9"/>
      <c r="AW183" s="10"/>
      <c r="AY183" s="11">
        <f t="shared" si="93"/>
        <v>0</v>
      </c>
    </row>
    <row r="184" spans="5:51" ht="60" customHeight="1" x14ac:dyDescent="0.2">
      <c r="E184" s="151">
        <f t="shared" si="123"/>
        <v>30813</v>
      </c>
      <c r="F184" s="170" t="s">
        <v>504</v>
      </c>
      <c r="G184" s="156"/>
      <c r="H184" s="157"/>
      <c r="I184" s="158"/>
      <c r="J184" s="159"/>
      <c r="K184" s="158"/>
      <c r="L184" s="159"/>
      <c r="M184" s="158"/>
      <c r="N184" s="159"/>
      <c r="O184" s="158"/>
      <c r="P184" s="159"/>
      <c r="Q184" s="165"/>
      <c r="R184" s="166"/>
      <c r="S184" s="156"/>
      <c r="T184" s="160"/>
      <c r="U184" s="157"/>
      <c r="V184" s="161">
        <v>50000</v>
      </c>
      <c r="W184" s="158">
        <v>0</v>
      </c>
      <c r="X184" s="160"/>
      <c r="Y184" s="160">
        <f>W184/2</f>
        <v>0</v>
      </c>
      <c r="Z184" s="160">
        <f>W184/2</f>
        <v>0</v>
      </c>
      <c r="AA184" s="160"/>
      <c r="AB184" s="159"/>
      <c r="AC184" s="158">
        <f t="shared" si="125"/>
        <v>50000</v>
      </c>
      <c r="AD184" s="160"/>
      <c r="AE184" s="160"/>
      <c r="AF184" s="157"/>
      <c r="AG184" s="157">
        <f>AC184-AH184</f>
        <v>25000</v>
      </c>
      <c r="AH184" s="159">
        <f>AC184/2</f>
        <v>25000</v>
      </c>
      <c r="AI184" s="35">
        <f t="shared" si="116"/>
        <v>0</v>
      </c>
      <c r="AJ184" s="11">
        <f t="shared" si="117"/>
        <v>0</v>
      </c>
      <c r="AK184" s="11">
        <f t="shared" si="118"/>
        <v>0</v>
      </c>
      <c r="AL184" s="11">
        <f t="shared" si="119"/>
        <v>25000</v>
      </c>
      <c r="AM184" s="76">
        <f t="shared" si="120"/>
        <v>25000</v>
      </c>
      <c r="AN184" s="51">
        <f t="shared" si="121"/>
        <v>50000</v>
      </c>
      <c r="AO184" s="36"/>
      <c r="AP184" s="9"/>
      <c r="AQ184" s="9"/>
      <c r="AR184" s="9"/>
      <c r="AS184" s="9"/>
      <c r="AT184" s="9"/>
      <c r="AU184" s="9"/>
      <c r="AV184" s="9"/>
      <c r="AW184" s="10"/>
      <c r="AY184" s="11">
        <f t="shared" si="93"/>
        <v>0</v>
      </c>
    </row>
    <row r="185" spans="5:51" ht="60" customHeight="1" x14ac:dyDescent="0.2">
      <c r="E185" s="151">
        <f t="shared" si="123"/>
        <v>30814</v>
      </c>
      <c r="F185" s="170" t="s">
        <v>505</v>
      </c>
      <c r="G185" s="156"/>
      <c r="H185" s="157"/>
      <c r="I185" s="158"/>
      <c r="J185" s="159"/>
      <c r="K185" s="158">
        <v>550000</v>
      </c>
      <c r="L185" s="159">
        <v>50000</v>
      </c>
      <c r="M185" s="158">
        <v>550000</v>
      </c>
      <c r="N185" s="159">
        <v>300000</v>
      </c>
      <c r="O185" s="158">
        <v>550000</v>
      </c>
      <c r="P185" s="159"/>
      <c r="Q185" s="165">
        <f t="shared" si="124"/>
        <v>0</v>
      </c>
      <c r="R185" s="166">
        <f t="shared" si="124"/>
        <v>-300000</v>
      </c>
      <c r="S185" s="156"/>
      <c r="T185" s="160"/>
      <c r="U185" s="157"/>
      <c r="V185" s="161">
        <v>50000</v>
      </c>
      <c r="W185" s="158">
        <v>0</v>
      </c>
      <c r="X185" s="160"/>
      <c r="Y185" s="160">
        <f>W185/2</f>
        <v>0</v>
      </c>
      <c r="Z185" s="160">
        <f>W185/2</f>
        <v>0</v>
      </c>
      <c r="AA185" s="160"/>
      <c r="AB185" s="159"/>
      <c r="AC185" s="158">
        <f t="shared" si="125"/>
        <v>50000</v>
      </c>
      <c r="AD185" s="160"/>
      <c r="AE185" s="160"/>
      <c r="AF185" s="157"/>
      <c r="AG185" s="157">
        <f>AC185-AH185</f>
        <v>25000</v>
      </c>
      <c r="AH185" s="159">
        <f>AC185/2</f>
        <v>25000</v>
      </c>
      <c r="AI185" s="35">
        <f t="shared" si="116"/>
        <v>0</v>
      </c>
      <c r="AJ185" s="11">
        <f t="shared" si="117"/>
        <v>0</v>
      </c>
      <c r="AK185" s="11">
        <f t="shared" si="118"/>
        <v>0</v>
      </c>
      <c r="AL185" s="11">
        <f t="shared" si="119"/>
        <v>25000</v>
      </c>
      <c r="AM185" s="76">
        <f t="shared" si="120"/>
        <v>25000</v>
      </c>
      <c r="AN185" s="51">
        <f t="shared" si="121"/>
        <v>50000</v>
      </c>
      <c r="AO185" s="36"/>
      <c r="AP185" s="9"/>
      <c r="AQ185" s="9"/>
      <c r="AR185" s="9"/>
      <c r="AS185" s="9"/>
      <c r="AT185" s="9"/>
      <c r="AU185" s="9"/>
      <c r="AV185" s="9">
        <f t="shared" si="122"/>
        <v>0</v>
      </c>
      <c r="AW185" s="10"/>
      <c r="AY185" s="11">
        <f t="shared" si="93"/>
        <v>0</v>
      </c>
    </row>
    <row r="186" spans="5:51" ht="60" customHeight="1" x14ac:dyDescent="0.2">
      <c r="E186" s="151">
        <f t="shared" si="123"/>
        <v>30815</v>
      </c>
      <c r="F186" s="170" t="s">
        <v>95</v>
      </c>
      <c r="G186" s="156">
        <v>700000</v>
      </c>
      <c r="H186" s="157">
        <f>G186</f>
        <v>700000</v>
      </c>
      <c r="I186" s="158">
        <v>100000</v>
      </c>
      <c r="J186" s="159">
        <f>I186</f>
        <v>100000</v>
      </c>
      <c r="K186" s="158">
        <v>200000</v>
      </c>
      <c r="L186" s="159">
        <v>200000</v>
      </c>
      <c r="M186" s="158">
        <v>575000</v>
      </c>
      <c r="N186" s="159">
        <v>450000</v>
      </c>
      <c r="O186" s="158">
        <v>200000</v>
      </c>
      <c r="P186" s="159">
        <v>400000</v>
      </c>
      <c r="Q186" s="165">
        <f t="shared" si="124"/>
        <v>-375000</v>
      </c>
      <c r="R186" s="166">
        <f t="shared" si="124"/>
        <v>-50000</v>
      </c>
      <c r="S186" s="156">
        <v>530000</v>
      </c>
      <c r="T186" s="160">
        <v>250000</v>
      </c>
      <c r="U186" s="157">
        <f>+S186-T186</f>
        <v>280000</v>
      </c>
      <c r="V186" s="161">
        <v>300000</v>
      </c>
      <c r="W186" s="158">
        <v>300000</v>
      </c>
      <c r="X186" s="160"/>
      <c r="Y186" s="160"/>
      <c r="Z186" s="160"/>
      <c r="AA186" s="160">
        <f>W186/2</f>
        <v>150000</v>
      </c>
      <c r="AB186" s="159">
        <f>W186/2</f>
        <v>150000</v>
      </c>
      <c r="AC186" s="158">
        <f t="shared" si="125"/>
        <v>0</v>
      </c>
      <c r="AD186" s="160"/>
      <c r="AE186" s="160">
        <f>AC186/2</f>
        <v>0</v>
      </c>
      <c r="AF186" s="157"/>
      <c r="AG186" s="157"/>
      <c r="AH186" s="159">
        <f>AC186/2</f>
        <v>0</v>
      </c>
      <c r="AI186" s="35">
        <f t="shared" si="116"/>
        <v>0</v>
      </c>
      <c r="AJ186" s="11">
        <f t="shared" si="117"/>
        <v>0</v>
      </c>
      <c r="AK186" s="11">
        <f t="shared" si="118"/>
        <v>0</v>
      </c>
      <c r="AL186" s="11">
        <f t="shared" si="119"/>
        <v>150000</v>
      </c>
      <c r="AM186" s="76">
        <f t="shared" si="120"/>
        <v>150000</v>
      </c>
      <c r="AN186" s="51">
        <f t="shared" si="121"/>
        <v>300000</v>
      </c>
      <c r="AO186" s="36"/>
      <c r="AP186" s="9"/>
      <c r="AQ186" s="9"/>
      <c r="AR186" s="9"/>
      <c r="AS186" s="9"/>
      <c r="AT186" s="9"/>
      <c r="AU186" s="9"/>
      <c r="AV186" s="9">
        <f t="shared" si="122"/>
        <v>0</v>
      </c>
      <c r="AW186" s="10"/>
      <c r="AY186" s="11">
        <f t="shared" si="93"/>
        <v>0</v>
      </c>
    </row>
    <row r="187" spans="5:51" ht="60" customHeight="1" x14ac:dyDescent="0.2">
      <c r="E187" s="151">
        <f t="shared" si="123"/>
        <v>30816</v>
      </c>
      <c r="F187" s="170" t="s">
        <v>506</v>
      </c>
      <c r="G187" s="156"/>
      <c r="H187" s="157"/>
      <c r="I187" s="158"/>
      <c r="J187" s="159"/>
      <c r="K187" s="158"/>
      <c r="L187" s="159"/>
      <c r="M187" s="158"/>
      <c r="N187" s="159"/>
      <c r="O187" s="158">
        <v>400000</v>
      </c>
      <c r="P187" s="159"/>
      <c r="Q187" s="165">
        <f t="shared" si="124"/>
        <v>400000</v>
      </c>
      <c r="R187" s="166">
        <f t="shared" si="124"/>
        <v>0</v>
      </c>
      <c r="S187" s="156"/>
      <c r="T187" s="160"/>
      <c r="U187" s="157"/>
      <c r="V187" s="161">
        <v>200000</v>
      </c>
      <c r="W187" s="158">
        <v>0</v>
      </c>
      <c r="X187" s="160"/>
      <c r="Y187" s="160">
        <f>W187/2</f>
        <v>0</v>
      </c>
      <c r="Z187" s="160">
        <f>W187/2</f>
        <v>0</v>
      </c>
      <c r="AA187" s="160"/>
      <c r="AB187" s="159"/>
      <c r="AC187" s="158">
        <f t="shared" si="125"/>
        <v>200000</v>
      </c>
      <c r="AD187" s="160"/>
      <c r="AE187" s="160"/>
      <c r="AF187" s="157"/>
      <c r="AG187" s="157">
        <f>AC187-AH187</f>
        <v>100000</v>
      </c>
      <c r="AH187" s="159">
        <f>AC187/2</f>
        <v>100000</v>
      </c>
      <c r="AI187" s="35">
        <f t="shared" si="116"/>
        <v>0</v>
      </c>
      <c r="AJ187" s="11">
        <f t="shared" si="117"/>
        <v>0</v>
      </c>
      <c r="AK187" s="11">
        <f t="shared" si="118"/>
        <v>0</v>
      </c>
      <c r="AL187" s="11">
        <f t="shared" si="119"/>
        <v>100000</v>
      </c>
      <c r="AM187" s="76">
        <f t="shared" si="120"/>
        <v>100000</v>
      </c>
      <c r="AN187" s="51">
        <f t="shared" si="121"/>
        <v>200000</v>
      </c>
      <c r="AO187" s="36"/>
      <c r="AP187" s="9"/>
      <c r="AQ187" s="9"/>
      <c r="AR187" s="9"/>
      <c r="AS187" s="9"/>
      <c r="AT187" s="9"/>
      <c r="AU187" s="9"/>
      <c r="AV187" s="9"/>
      <c r="AW187" s="10"/>
      <c r="AY187" s="11"/>
    </row>
    <row r="188" spans="5:51" ht="60" customHeight="1" x14ac:dyDescent="0.2">
      <c r="E188" s="151">
        <f t="shared" si="123"/>
        <v>30817</v>
      </c>
      <c r="F188" s="170" t="s">
        <v>304</v>
      </c>
      <c r="G188" s="156"/>
      <c r="H188" s="157"/>
      <c r="I188" s="158"/>
      <c r="J188" s="159"/>
      <c r="K188" s="158">
        <v>50000</v>
      </c>
      <c r="L188" s="159">
        <v>50000</v>
      </c>
      <c r="M188" s="158">
        <v>50000</v>
      </c>
      <c r="N188" s="159">
        <v>50000</v>
      </c>
      <c r="O188" s="158">
        <v>50000</v>
      </c>
      <c r="P188" s="159">
        <v>50000</v>
      </c>
      <c r="Q188" s="165">
        <f t="shared" si="124"/>
        <v>0</v>
      </c>
      <c r="R188" s="166">
        <f t="shared" si="124"/>
        <v>0</v>
      </c>
      <c r="S188" s="156"/>
      <c r="T188" s="160"/>
      <c r="U188" s="157">
        <f>+S188</f>
        <v>0</v>
      </c>
      <c r="V188" s="161">
        <v>50000</v>
      </c>
      <c r="W188" s="158">
        <v>0</v>
      </c>
      <c r="X188" s="160"/>
      <c r="Y188" s="160">
        <f>W188</f>
        <v>0</v>
      </c>
      <c r="Z188" s="160"/>
      <c r="AA188" s="160"/>
      <c r="AB188" s="159"/>
      <c r="AC188" s="158">
        <f t="shared" si="125"/>
        <v>50000</v>
      </c>
      <c r="AD188" s="160"/>
      <c r="AE188" s="160"/>
      <c r="AF188" s="157"/>
      <c r="AG188" s="157">
        <f>AC188</f>
        <v>50000</v>
      </c>
      <c r="AH188" s="159"/>
      <c r="AI188" s="35">
        <f t="shared" si="116"/>
        <v>0</v>
      </c>
      <c r="AJ188" s="11">
        <f t="shared" si="117"/>
        <v>0</v>
      </c>
      <c r="AK188" s="11">
        <f t="shared" si="118"/>
        <v>0</v>
      </c>
      <c r="AL188" s="11">
        <f t="shared" si="119"/>
        <v>50000</v>
      </c>
      <c r="AM188" s="76">
        <f t="shared" si="120"/>
        <v>0</v>
      </c>
      <c r="AN188" s="51">
        <f t="shared" si="121"/>
        <v>50000</v>
      </c>
      <c r="AO188" s="36"/>
      <c r="AP188" s="9"/>
      <c r="AQ188" s="9"/>
      <c r="AR188" s="9"/>
      <c r="AS188" s="9"/>
      <c r="AT188" s="9"/>
      <c r="AU188" s="9"/>
      <c r="AV188" s="9">
        <f t="shared" si="122"/>
        <v>0</v>
      </c>
      <c r="AW188" s="10"/>
      <c r="AY188" s="11">
        <f t="shared" ref="AY188:AY196" si="126">V188-W188-AC188</f>
        <v>0</v>
      </c>
    </row>
    <row r="189" spans="5:51" ht="60" customHeight="1" x14ac:dyDescent="0.2">
      <c r="E189" s="151">
        <f t="shared" si="123"/>
        <v>30818</v>
      </c>
      <c r="F189" s="170" t="s">
        <v>309</v>
      </c>
      <c r="G189" s="156"/>
      <c r="H189" s="157"/>
      <c r="I189" s="158"/>
      <c r="J189" s="159"/>
      <c r="K189" s="158">
        <v>100000</v>
      </c>
      <c r="L189" s="159">
        <v>100000</v>
      </c>
      <c r="M189" s="158">
        <v>150000</v>
      </c>
      <c r="N189" s="159">
        <v>150000</v>
      </c>
      <c r="O189" s="158">
        <v>150000</v>
      </c>
      <c r="P189" s="159">
        <v>150000</v>
      </c>
      <c r="Q189" s="165">
        <f t="shared" si="124"/>
        <v>0</v>
      </c>
      <c r="R189" s="166">
        <f t="shared" si="124"/>
        <v>0</v>
      </c>
      <c r="S189" s="156">
        <v>270000</v>
      </c>
      <c r="T189" s="160"/>
      <c r="U189" s="157">
        <f>+S189</f>
        <v>270000</v>
      </c>
      <c r="V189" s="161">
        <v>150000</v>
      </c>
      <c r="W189" s="158">
        <v>0</v>
      </c>
      <c r="X189" s="160"/>
      <c r="Y189" s="160">
        <f>W189</f>
        <v>0</v>
      </c>
      <c r="Z189" s="160"/>
      <c r="AA189" s="160"/>
      <c r="AB189" s="159"/>
      <c r="AC189" s="158">
        <f t="shared" si="125"/>
        <v>150000</v>
      </c>
      <c r="AD189" s="160"/>
      <c r="AE189" s="160"/>
      <c r="AF189" s="157"/>
      <c r="AG189" s="157">
        <f>AC189</f>
        <v>150000</v>
      </c>
      <c r="AH189" s="159"/>
      <c r="AI189" s="35">
        <f t="shared" si="116"/>
        <v>0</v>
      </c>
      <c r="AJ189" s="11">
        <f t="shared" si="117"/>
        <v>0</v>
      </c>
      <c r="AK189" s="11">
        <f t="shared" si="118"/>
        <v>0</v>
      </c>
      <c r="AL189" s="11">
        <f t="shared" si="119"/>
        <v>150000</v>
      </c>
      <c r="AM189" s="76">
        <f t="shared" si="120"/>
        <v>0</v>
      </c>
      <c r="AN189" s="51">
        <f t="shared" si="121"/>
        <v>150000</v>
      </c>
      <c r="AO189" s="36"/>
      <c r="AP189" s="9"/>
      <c r="AQ189" s="9"/>
      <c r="AR189" s="9"/>
      <c r="AS189" s="9"/>
      <c r="AT189" s="9"/>
      <c r="AU189" s="9"/>
      <c r="AV189" s="9">
        <f t="shared" si="122"/>
        <v>0</v>
      </c>
      <c r="AW189" s="10"/>
      <c r="AY189" s="11">
        <f t="shared" si="126"/>
        <v>0</v>
      </c>
    </row>
    <row r="190" spans="5:51" ht="60" customHeight="1" x14ac:dyDescent="0.2">
      <c r="E190" s="151">
        <f t="shared" si="123"/>
        <v>30819</v>
      </c>
      <c r="F190" s="170" t="s">
        <v>97</v>
      </c>
      <c r="G190" s="156"/>
      <c r="H190" s="157"/>
      <c r="I190" s="158"/>
      <c r="J190" s="159">
        <v>120000</v>
      </c>
      <c r="K190" s="158">
        <v>300000</v>
      </c>
      <c r="L190" s="159">
        <v>300000</v>
      </c>
      <c r="M190" s="158">
        <v>750000</v>
      </c>
      <c r="N190" s="159">
        <v>750000</v>
      </c>
      <c r="O190" s="158">
        <v>1350000</v>
      </c>
      <c r="P190" s="159">
        <v>1350000</v>
      </c>
      <c r="Q190" s="165">
        <f t="shared" si="124"/>
        <v>600000</v>
      </c>
      <c r="R190" s="166">
        <f t="shared" si="124"/>
        <v>600000</v>
      </c>
      <c r="S190" s="156">
        <v>450000</v>
      </c>
      <c r="T190" s="160"/>
      <c r="U190" s="157">
        <f>+S190</f>
        <v>450000</v>
      </c>
      <c r="V190" s="161">
        <v>1200000</v>
      </c>
      <c r="W190" s="158">
        <v>500000</v>
      </c>
      <c r="X190" s="160"/>
      <c r="Y190" s="160"/>
      <c r="Z190" s="160"/>
      <c r="AA190" s="160">
        <f>W190/2</f>
        <v>250000</v>
      </c>
      <c r="AB190" s="159">
        <f>W190/2</f>
        <v>250000</v>
      </c>
      <c r="AC190" s="158">
        <f t="shared" si="125"/>
        <v>700000</v>
      </c>
      <c r="AD190" s="160"/>
      <c r="AE190" s="160"/>
      <c r="AF190" s="157"/>
      <c r="AG190" s="160">
        <f>AC190/2</f>
        <v>350000</v>
      </c>
      <c r="AH190" s="159">
        <f>AC190/2</f>
        <v>350000</v>
      </c>
      <c r="AI190" s="35">
        <f t="shared" si="116"/>
        <v>0</v>
      </c>
      <c r="AJ190" s="11">
        <f t="shared" si="117"/>
        <v>0</v>
      </c>
      <c r="AK190" s="11">
        <f t="shared" si="118"/>
        <v>0</v>
      </c>
      <c r="AL190" s="11">
        <f t="shared" si="119"/>
        <v>600000</v>
      </c>
      <c r="AM190" s="76">
        <f t="shared" si="120"/>
        <v>600000</v>
      </c>
      <c r="AN190" s="51">
        <f t="shared" si="121"/>
        <v>1200000</v>
      </c>
      <c r="AO190" s="36"/>
      <c r="AP190" s="9"/>
      <c r="AQ190" s="9"/>
      <c r="AR190" s="9"/>
      <c r="AS190" s="9"/>
      <c r="AT190" s="9"/>
      <c r="AU190" s="9"/>
      <c r="AV190" s="9">
        <f t="shared" si="122"/>
        <v>0</v>
      </c>
      <c r="AW190" s="10">
        <f>AP190-AQ190-AV190</f>
        <v>0</v>
      </c>
      <c r="AY190" s="11">
        <f t="shared" si="126"/>
        <v>0</v>
      </c>
    </row>
    <row r="191" spans="5:51" ht="60" customHeight="1" x14ac:dyDescent="0.2">
      <c r="E191" s="151">
        <f t="shared" si="123"/>
        <v>30820</v>
      </c>
      <c r="F191" s="170" t="s">
        <v>507</v>
      </c>
      <c r="G191" s="156"/>
      <c r="H191" s="157"/>
      <c r="I191" s="158"/>
      <c r="J191" s="159"/>
      <c r="K191" s="158"/>
      <c r="L191" s="159"/>
      <c r="M191" s="158"/>
      <c r="N191" s="159"/>
      <c r="O191" s="158"/>
      <c r="P191" s="159"/>
      <c r="Q191" s="165"/>
      <c r="R191" s="166"/>
      <c r="S191" s="156"/>
      <c r="T191" s="160"/>
      <c r="U191" s="157"/>
      <c r="V191" s="161">
        <v>150000</v>
      </c>
      <c r="W191" s="158">
        <v>0</v>
      </c>
      <c r="X191" s="160"/>
      <c r="Y191" s="160"/>
      <c r="Z191" s="160">
        <f>W191</f>
        <v>0</v>
      </c>
      <c r="AA191" s="160"/>
      <c r="AB191" s="159"/>
      <c r="AC191" s="158">
        <f t="shared" si="125"/>
        <v>150000</v>
      </c>
      <c r="AD191" s="160"/>
      <c r="AE191" s="160"/>
      <c r="AF191" s="157"/>
      <c r="AG191" s="157"/>
      <c r="AH191" s="159">
        <f>V191-Z191</f>
        <v>150000</v>
      </c>
      <c r="AI191" s="35">
        <f t="shared" si="116"/>
        <v>0</v>
      </c>
      <c r="AJ191" s="11">
        <f t="shared" si="117"/>
        <v>0</v>
      </c>
      <c r="AK191" s="11">
        <f t="shared" si="118"/>
        <v>0</v>
      </c>
      <c r="AL191" s="11">
        <f t="shared" si="119"/>
        <v>0</v>
      </c>
      <c r="AM191" s="76">
        <f t="shared" si="120"/>
        <v>150000</v>
      </c>
      <c r="AN191" s="51">
        <f t="shared" si="121"/>
        <v>150000</v>
      </c>
      <c r="AO191" s="36"/>
      <c r="AP191" s="9"/>
      <c r="AQ191" s="9"/>
      <c r="AR191" s="9"/>
      <c r="AS191" s="9"/>
      <c r="AT191" s="9"/>
      <c r="AU191" s="9"/>
      <c r="AV191" s="9"/>
      <c r="AW191" s="10"/>
      <c r="AY191" s="11">
        <f t="shared" si="126"/>
        <v>0</v>
      </c>
    </row>
    <row r="192" spans="5:51" ht="60" customHeight="1" x14ac:dyDescent="0.2">
      <c r="E192" s="151">
        <f t="shared" si="123"/>
        <v>30821</v>
      </c>
      <c r="F192" s="170" t="s">
        <v>276</v>
      </c>
      <c r="G192" s="156">
        <v>200000</v>
      </c>
      <c r="H192" s="157">
        <f>G192</f>
        <v>200000</v>
      </c>
      <c r="I192" s="158">
        <v>350000</v>
      </c>
      <c r="J192" s="159">
        <f>I192</f>
        <v>350000</v>
      </c>
      <c r="K192" s="158">
        <f>350000+200000</f>
        <v>550000</v>
      </c>
      <c r="L192" s="159">
        <v>550000</v>
      </c>
      <c r="M192" s="158">
        <v>350000</v>
      </c>
      <c r="N192" s="159">
        <v>350000</v>
      </c>
      <c r="O192" s="158">
        <v>350000</v>
      </c>
      <c r="P192" s="159">
        <v>350000</v>
      </c>
      <c r="Q192" s="165">
        <f t="shared" si="124"/>
        <v>0</v>
      </c>
      <c r="R192" s="166">
        <f t="shared" si="124"/>
        <v>0</v>
      </c>
      <c r="S192" s="156"/>
      <c r="T192" s="160"/>
      <c r="U192" s="157">
        <f>+S192</f>
        <v>0</v>
      </c>
      <c r="V192" s="161">
        <v>350000</v>
      </c>
      <c r="W192" s="158">
        <f>V192</f>
        <v>350000</v>
      </c>
      <c r="X192" s="160"/>
      <c r="Y192" s="160"/>
      <c r="Z192" s="160"/>
      <c r="AA192" s="160"/>
      <c r="AB192" s="159">
        <f>W192</f>
        <v>350000</v>
      </c>
      <c r="AC192" s="158">
        <f t="shared" si="125"/>
        <v>0</v>
      </c>
      <c r="AD192" s="160"/>
      <c r="AE192" s="160"/>
      <c r="AF192" s="157"/>
      <c r="AG192" s="157"/>
      <c r="AH192" s="159">
        <f>AC192</f>
        <v>0</v>
      </c>
      <c r="AI192" s="35">
        <f t="shared" si="116"/>
        <v>0</v>
      </c>
      <c r="AJ192" s="11">
        <f t="shared" si="117"/>
        <v>0</v>
      </c>
      <c r="AK192" s="11">
        <f t="shared" si="118"/>
        <v>0</v>
      </c>
      <c r="AL192" s="11">
        <f t="shared" si="119"/>
        <v>0</v>
      </c>
      <c r="AM192" s="76">
        <f t="shared" si="120"/>
        <v>350000</v>
      </c>
      <c r="AN192" s="51">
        <f t="shared" si="121"/>
        <v>350000</v>
      </c>
      <c r="AO192" s="36"/>
      <c r="AP192" s="9"/>
      <c r="AQ192" s="9"/>
      <c r="AR192" s="9"/>
      <c r="AS192" s="9"/>
      <c r="AT192" s="9"/>
      <c r="AU192" s="9"/>
      <c r="AV192" s="9">
        <f>AU192+AT192+AS192+AR192</f>
        <v>0</v>
      </c>
      <c r="AW192" s="10"/>
      <c r="AY192" s="11">
        <f t="shared" si="126"/>
        <v>0</v>
      </c>
    </row>
    <row r="193" spans="5:51" ht="60" customHeight="1" x14ac:dyDescent="0.2">
      <c r="E193" s="149"/>
      <c r="F193" s="127" t="s">
        <v>98</v>
      </c>
      <c r="G193" s="118">
        <f t="shared" ref="G193:AV193" si="127">SUM(G172:G192)</f>
        <v>5710000</v>
      </c>
      <c r="H193" s="116">
        <f t="shared" si="127"/>
        <v>16410000</v>
      </c>
      <c r="I193" s="115">
        <f t="shared" si="127"/>
        <v>3420000</v>
      </c>
      <c r="J193" s="117">
        <f t="shared" si="127"/>
        <v>2520000</v>
      </c>
      <c r="K193" s="115">
        <f t="shared" si="127"/>
        <v>4620000</v>
      </c>
      <c r="L193" s="117">
        <f t="shared" si="127"/>
        <v>3620000</v>
      </c>
      <c r="M193" s="115">
        <f t="shared" si="127"/>
        <v>5825000</v>
      </c>
      <c r="N193" s="117">
        <f t="shared" si="127"/>
        <v>5100000</v>
      </c>
      <c r="O193" s="115">
        <f t="shared" si="127"/>
        <v>12250000</v>
      </c>
      <c r="P193" s="117">
        <f t="shared" si="127"/>
        <v>11774000</v>
      </c>
      <c r="Q193" s="115">
        <f t="shared" si="127"/>
        <v>6425000</v>
      </c>
      <c r="R193" s="117">
        <f t="shared" si="127"/>
        <v>6674000</v>
      </c>
      <c r="S193" s="118">
        <f t="shared" si="127"/>
        <v>1950000</v>
      </c>
      <c r="T193" s="120">
        <f t="shared" si="127"/>
        <v>250000</v>
      </c>
      <c r="U193" s="116">
        <f t="shared" si="127"/>
        <v>1700000</v>
      </c>
      <c r="V193" s="119">
        <f t="shared" si="127"/>
        <v>12600000</v>
      </c>
      <c r="W193" s="115">
        <f t="shared" si="127"/>
        <v>4700000</v>
      </c>
      <c r="X193" s="120">
        <f t="shared" si="127"/>
        <v>0</v>
      </c>
      <c r="Y193" s="120">
        <f t="shared" si="127"/>
        <v>350000</v>
      </c>
      <c r="Z193" s="120">
        <f t="shared" si="127"/>
        <v>0</v>
      </c>
      <c r="AA193" s="120">
        <f t="shared" si="127"/>
        <v>3150000</v>
      </c>
      <c r="AB193" s="117">
        <f t="shared" si="127"/>
        <v>1200000</v>
      </c>
      <c r="AC193" s="115">
        <f t="shared" si="127"/>
        <v>7900000</v>
      </c>
      <c r="AD193" s="120">
        <f t="shared" si="127"/>
        <v>0</v>
      </c>
      <c r="AE193" s="120">
        <f t="shared" si="127"/>
        <v>0</v>
      </c>
      <c r="AF193" s="116">
        <f t="shared" si="127"/>
        <v>0</v>
      </c>
      <c r="AG193" s="116">
        <f t="shared" si="127"/>
        <v>7050000</v>
      </c>
      <c r="AH193" s="117">
        <f t="shared" si="127"/>
        <v>850000</v>
      </c>
      <c r="AI193" s="47">
        <f t="shared" si="127"/>
        <v>0</v>
      </c>
      <c r="AJ193" s="10">
        <f t="shared" si="127"/>
        <v>350000</v>
      </c>
      <c r="AK193" s="10">
        <f t="shared" si="127"/>
        <v>0</v>
      </c>
      <c r="AL193" s="10">
        <f t="shared" si="127"/>
        <v>10200000</v>
      </c>
      <c r="AM193" s="48">
        <f t="shared" si="127"/>
        <v>2050000</v>
      </c>
      <c r="AN193" s="52">
        <f t="shared" si="127"/>
        <v>12600000</v>
      </c>
      <c r="AO193" s="39">
        <f t="shared" si="127"/>
        <v>0</v>
      </c>
      <c r="AP193" s="10">
        <f t="shared" si="127"/>
        <v>0</v>
      </c>
      <c r="AQ193" s="10">
        <f t="shared" si="127"/>
        <v>0</v>
      </c>
      <c r="AR193" s="10">
        <f t="shared" si="127"/>
        <v>0</v>
      </c>
      <c r="AS193" s="10">
        <f t="shared" si="127"/>
        <v>0</v>
      </c>
      <c r="AT193" s="10">
        <f t="shared" si="127"/>
        <v>0</v>
      </c>
      <c r="AU193" s="10">
        <f t="shared" si="127"/>
        <v>0</v>
      </c>
      <c r="AV193" s="10">
        <f t="shared" si="127"/>
        <v>0</v>
      </c>
      <c r="AW193" s="10">
        <f t="shared" ref="AW193:AW251" si="128">AP193-AQ193-AV193</f>
        <v>0</v>
      </c>
      <c r="AY193" s="11">
        <f t="shared" si="126"/>
        <v>0</v>
      </c>
    </row>
    <row r="194" spans="5:51" ht="60" customHeight="1" x14ac:dyDescent="0.2">
      <c r="E194" s="151">
        <v>30900</v>
      </c>
      <c r="F194" s="155" t="s">
        <v>99</v>
      </c>
      <c r="G194" s="156"/>
      <c r="H194" s="157"/>
      <c r="I194" s="158"/>
      <c r="J194" s="159"/>
      <c r="K194" s="158"/>
      <c r="L194" s="159"/>
      <c r="M194" s="158"/>
      <c r="N194" s="159"/>
      <c r="O194" s="158"/>
      <c r="P194" s="159"/>
      <c r="Q194" s="158"/>
      <c r="R194" s="159"/>
      <c r="S194" s="156"/>
      <c r="T194" s="160"/>
      <c r="U194" s="157"/>
      <c r="V194" s="161"/>
      <c r="W194" s="158"/>
      <c r="X194" s="160"/>
      <c r="Y194" s="160"/>
      <c r="Z194" s="160"/>
      <c r="AA194" s="160"/>
      <c r="AB194" s="159"/>
      <c r="AC194" s="158"/>
      <c r="AD194" s="160"/>
      <c r="AE194" s="160"/>
      <c r="AF194" s="157"/>
      <c r="AG194" s="157"/>
      <c r="AH194" s="159"/>
      <c r="AI194" s="45"/>
      <c r="AJ194" s="9"/>
      <c r="AK194" s="9"/>
      <c r="AL194" s="9"/>
      <c r="AM194" s="46"/>
      <c r="AN194" s="50"/>
      <c r="AO194" s="36"/>
      <c r="AP194" s="9"/>
      <c r="AQ194" s="9"/>
      <c r="AR194" s="9"/>
      <c r="AS194" s="9"/>
      <c r="AT194" s="9"/>
      <c r="AU194" s="9"/>
      <c r="AV194" s="9"/>
      <c r="AW194" s="10">
        <f t="shared" si="128"/>
        <v>0</v>
      </c>
      <c r="AY194" s="11">
        <f t="shared" si="126"/>
        <v>0</v>
      </c>
    </row>
    <row r="195" spans="5:51" ht="60" customHeight="1" x14ac:dyDescent="0.2">
      <c r="E195" s="151">
        <f>E194+1</f>
        <v>30901</v>
      </c>
      <c r="F195" s="170" t="s">
        <v>515</v>
      </c>
      <c r="G195" s="156">
        <v>500000</v>
      </c>
      <c r="H195" s="157">
        <v>300000</v>
      </c>
      <c r="I195" s="158">
        <f>575000+300000</f>
        <v>875000</v>
      </c>
      <c r="J195" s="159">
        <f>I195</f>
        <v>875000</v>
      </c>
      <c r="K195" s="158">
        <f>550000+300000</f>
        <v>850000</v>
      </c>
      <c r="L195" s="159">
        <f>550301+300000</f>
        <v>850301</v>
      </c>
      <c r="M195" s="158">
        <f>550000+400000</f>
        <v>950000</v>
      </c>
      <c r="N195" s="159">
        <f>137500*3+400000</f>
        <v>812500</v>
      </c>
      <c r="O195" s="158">
        <f>800000+300000+300000</f>
        <v>1400000</v>
      </c>
      <c r="P195" s="159">
        <f>800000+50000+200000</f>
        <v>1050000</v>
      </c>
      <c r="Q195" s="165">
        <f>O195-M195</f>
        <v>450000</v>
      </c>
      <c r="R195" s="166">
        <f>P195-N195</f>
        <v>237500</v>
      </c>
      <c r="S195" s="156">
        <v>290000</v>
      </c>
      <c r="T195" s="160"/>
      <c r="U195" s="157">
        <f>+S195</f>
        <v>290000</v>
      </c>
      <c r="V195" s="161">
        <f>800000+600000</f>
        <v>1400000</v>
      </c>
      <c r="W195" s="158">
        <v>600000</v>
      </c>
      <c r="X195" s="160"/>
      <c r="Y195" s="160"/>
      <c r="Z195" s="160"/>
      <c r="AA195" s="160">
        <f>W195/2</f>
        <v>300000</v>
      </c>
      <c r="AB195" s="159">
        <f>W195/2</f>
        <v>300000</v>
      </c>
      <c r="AC195" s="158">
        <f>V195-W195</f>
        <v>800000</v>
      </c>
      <c r="AD195" s="160"/>
      <c r="AE195" s="160"/>
      <c r="AF195" s="157"/>
      <c r="AG195" s="160">
        <f>AC195/2</f>
        <v>400000</v>
      </c>
      <c r="AH195" s="159">
        <f>AC195/2</f>
        <v>400000</v>
      </c>
      <c r="AI195" s="35">
        <f t="shared" ref="AI195:AM199" si="129">AD195+X195</f>
        <v>0</v>
      </c>
      <c r="AJ195" s="11">
        <f t="shared" si="129"/>
        <v>0</v>
      </c>
      <c r="AK195" s="11">
        <f t="shared" si="129"/>
        <v>0</v>
      </c>
      <c r="AL195" s="11">
        <f t="shared" si="129"/>
        <v>700000</v>
      </c>
      <c r="AM195" s="76">
        <f t="shared" si="129"/>
        <v>700000</v>
      </c>
      <c r="AN195" s="51">
        <f>SUM(AJ195:AM195)</f>
        <v>1400000</v>
      </c>
      <c r="AO195" s="36"/>
      <c r="AP195" s="9"/>
      <c r="AQ195" s="9"/>
      <c r="AR195" s="9"/>
      <c r="AS195" s="9"/>
      <c r="AT195" s="9"/>
      <c r="AU195" s="9"/>
      <c r="AV195" s="9">
        <f>AU195+AT195+AS195+AR195</f>
        <v>0</v>
      </c>
      <c r="AW195" s="10">
        <f t="shared" si="128"/>
        <v>0</v>
      </c>
      <c r="AY195" s="11">
        <f t="shared" si="126"/>
        <v>0</v>
      </c>
    </row>
    <row r="196" spans="5:51" ht="60" customHeight="1" x14ac:dyDescent="0.2">
      <c r="E196" s="151">
        <f>E195+1</f>
        <v>30902</v>
      </c>
      <c r="F196" s="170" t="s">
        <v>366</v>
      </c>
      <c r="G196" s="156"/>
      <c r="H196" s="157"/>
      <c r="I196" s="158"/>
      <c r="J196" s="159"/>
      <c r="K196" s="158"/>
      <c r="L196" s="159"/>
      <c r="M196" s="158"/>
      <c r="N196" s="159"/>
      <c r="O196" s="158">
        <v>2000000</v>
      </c>
      <c r="P196" s="159"/>
      <c r="Q196" s="165">
        <f t="shared" ref="Q196:R199" si="130">O196-M196</f>
        <v>2000000</v>
      </c>
      <c r="R196" s="166">
        <f t="shared" si="130"/>
        <v>0</v>
      </c>
      <c r="S196" s="156"/>
      <c r="T196" s="160"/>
      <c r="U196" s="157"/>
      <c r="V196" s="161">
        <v>2000000</v>
      </c>
      <c r="W196" s="158">
        <v>0</v>
      </c>
      <c r="X196" s="160"/>
      <c r="Y196" s="160"/>
      <c r="Z196" s="160">
        <f>W196</f>
        <v>0</v>
      </c>
      <c r="AA196" s="160"/>
      <c r="AB196" s="159"/>
      <c r="AC196" s="158">
        <f>V196-W196</f>
        <v>2000000</v>
      </c>
      <c r="AD196" s="160"/>
      <c r="AE196" s="160"/>
      <c r="AF196" s="157"/>
      <c r="AG196" s="160">
        <f>AC196/2</f>
        <v>1000000</v>
      </c>
      <c r="AH196" s="159">
        <f>AC196/2</f>
        <v>1000000</v>
      </c>
      <c r="AI196" s="35">
        <f t="shared" si="129"/>
        <v>0</v>
      </c>
      <c r="AJ196" s="11">
        <f t="shared" si="129"/>
        <v>0</v>
      </c>
      <c r="AK196" s="11">
        <f t="shared" si="129"/>
        <v>0</v>
      </c>
      <c r="AL196" s="11">
        <f t="shared" si="129"/>
        <v>1000000</v>
      </c>
      <c r="AM196" s="76">
        <f t="shared" si="129"/>
        <v>1000000</v>
      </c>
      <c r="AN196" s="51">
        <f>SUM(AJ196:AM196)</f>
        <v>2000000</v>
      </c>
      <c r="AO196" s="36"/>
      <c r="AP196" s="9"/>
      <c r="AQ196" s="9"/>
      <c r="AR196" s="9"/>
      <c r="AS196" s="9"/>
      <c r="AT196" s="9"/>
      <c r="AU196" s="9"/>
      <c r="AV196" s="9">
        <f>AU196+AT196+AS196+AR196</f>
        <v>0</v>
      </c>
      <c r="AW196" s="10"/>
      <c r="AY196" s="11">
        <f t="shared" si="126"/>
        <v>0</v>
      </c>
    </row>
    <row r="197" spans="5:51" ht="60" customHeight="1" x14ac:dyDescent="0.2">
      <c r="E197" s="151">
        <f>E196+1</f>
        <v>30903</v>
      </c>
      <c r="F197" s="170" t="s">
        <v>508</v>
      </c>
      <c r="G197" s="156"/>
      <c r="H197" s="157"/>
      <c r="I197" s="158"/>
      <c r="J197" s="159"/>
      <c r="K197" s="158"/>
      <c r="L197" s="159"/>
      <c r="M197" s="158"/>
      <c r="N197" s="159"/>
      <c r="O197" s="158"/>
      <c r="P197" s="159"/>
      <c r="Q197" s="165"/>
      <c r="R197" s="166"/>
      <c r="S197" s="156"/>
      <c r="T197" s="160"/>
      <c r="U197" s="157"/>
      <c r="V197" s="161">
        <v>1000000</v>
      </c>
      <c r="W197" s="158">
        <v>0</v>
      </c>
      <c r="X197" s="160"/>
      <c r="Y197" s="160"/>
      <c r="Z197" s="160">
        <f>W197</f>
        <v>0</v>
      </c>
      <c r="AA197" s="160"/>
      <c r="AB197" s="159"/>
      <c r="AC197" s="158">
        <f>V197-W197</f>
        <v>1000000</v>
      </c>
      <c r="AD197" s="160"/>
      <c r="AE197" s="160"/>
      <c r="AF197" s="157"/>
      <c r="AG197" s="160">
        <f>AC197/2</f>
        <v>500000</v>
      </c>
      <c r="AH197" s="159">
        <f>AC197/2</f>
        <v>500000</v>
      </c>
      <c r="AI197" s="35">
        <f t="shared" si="129"/>
        <v>0</v>
      </c>
      <c r="AJ197" s="11">
        <f t="shared" si="129"/>
        <v>0</v>
      </c>
      <c r="AK197" s="11">
        <f t="shared" si="129"/>
        <v>0</v>
      </c>
      <c r="AL197" s="11">
        <f t="shared" si="129"/>
        <v>500000</v>
      </c>
      <c r="AM197" s="76">
        <f t="shared" si="129"/>
        <v>500000</v>
      </c>
      <c r="AN197" s="51">
        <f>SUM(AJ197:AM197)</f>
        <v>1000000</v>
      </c>
      <c r="AO197" s="36"/>
      <c r="AP197" s="9"/>
      <c r="AQ197" s="9"/>
      <c r="AR197" s="9"/>
      <c r="AS197" s="9"/>
      <c r="AT197" s="9"/>
      <c r="AU197" s="9"/>
      <c r="AV197" s="9"/>
      <c r="AW197" s="10"/>
      <c r="AY197" s="11"/>
    </row>
    <row r="198" spans="5:51" ht="60" customHeight="1" x14ac:dyDescent="0.2">
      <c r="E198" s="151">
        <f>E197+1</f>
        <v>30904</v>
      </c>
      <c r="F198" s="170" t="s">
        <v>100</v>
      </c>
      <c r="G198" s="156">
        <v>200000</v>
      </c>
      <c r="H198" s="157">
        <f>G198</f>
        <v>200000</v>
      </c>
      <c r="I198" s="158">
        <v>200000</v>
      </c>
      <c r="J198" s="159">
        <f>I198</f>
        <v>200000</v>
      </c>
      <c r="K198" s="158">
        <v>300000</v>
      </c>
      <c r="L198" s="159">
        <v>300000</v>
      </c>
      <c r="M198" s="158">
        <v>785000</v>
      </c>
      <c r="N198" s="159">
        <f>400000+383772</f>
        <v>783772</v>
      </c>
      <c r="O198" s="158">
        <v>500000</v>
      </c>
      <c r="P198" s="159">
        <v>500000</v>
      </c>
      <c r="Q198" s="165">
        <f t="shared" si="130"/>
        <v>-285000</v>
      </c>
      <c r="R198" s="166">
        <f t="shared" si="130"/>
        <v>-283772</v>
      </c>
      <c r="S198" s="156"/>
      <c r="T198" s="160"/>
      <c r="U198" s="164"/>
      <c r="V198" s="161">
        <v>550000</v>
      </c>
      <c r="W198" s="158">
        <v>500000</v>
      </c>
      <c r="X198" s="160"/>
      <c r="Y198" s="160"/>
      <c r="Z198" s="160"/>
      <c r="AA198" s="160">
        <f>W198/2</f>
        <v>250000</v>
      </c>
      <c r="AB198" s="159">
        <f>W198/2</f>
        <v>250000</v>
      </c>
      <c r="AC198" s="158">
        <f>V198-W198</f>
        <v>50000</v>
      </c>
      <c r="AD198" s="160"/>
      <c r="AE198" s="160"/>
      <c r="AF198" s="157"/>
      <c r="AG198" s="157">
        <f>AC198-AH198</f>
        <v>25000</v>
      </c>
      <c r="AH198" s="159">
        <f>AC198/2</f>
        <v>25000</v>
      </c>
      <c r="AI198" s="35">
        <f t="shared" si="129"/>
        <v>0</v>
      </c>
      <c r="AJ198" s="11">
        <f t="shared" si="129"/>
        <v>0</v>
      </c>
      <c r="AK198" s="11">
        <f t="shared" si="129"/>
        <v>0</v>
      </c>
      <c r="AL198" s="11">
        <f t="shared" si="129"/>
        <v>275000</v>
      </c>
      <c r="AM198" s="76">
        <f t="shared" si="129"/>
        <v>275000</v>
      </c>
      <c r="AN198" s="51">
        <f>SUM(AJ198:AM198)</f>
        <v>550000</v>
      </c>
      <c r="AO198" s="36"/>
      <c r="AP198" s="9"/>
      <c r="AQ198" s="9"/>
      <c r="AR198" s="9"/>
      <c r="AS198" s="9"/>
      <c r="AT198" s="9"/>
      <c r="AU198" s="9"/>
      <c r="AV198" s="9">
        <f>AU198+AT198+AS198+AR198</f>
        <v>0</v>
      </c>
      <c r="AW198" s="10">
        <f t="shared" si="128"/>
        <v>0</v>
      </c>
      <c r="AY198" s="11">
        <f t="shared" ref="AY198:AY229" si="131">V198-W198-AC198</f>
        <v>0</v>
      </c>
    </row>
    <row r="199" spans="5:51" ht="60" customHeight="1" x14ac:dyDescent="0.2">
      <c r="E199" s="151">
        <f>E198+1</f>
        <v>30905</v>
      </c>
      <c r="F199" s="170" t="s">
        <v>365</v>
      </c>
      <c r="G199" s="156"/>
      <c r="H199" s="157"/>
      <c r="I199" s="158"/>
      <c r="J199" s="159"/>
      <c r="K199" s="158"/>
      <c r="L199" s="159"/>
      <c r="M199" s="158"/>
      <c r="N199" s="159"/>
      <c r="O199" s="158">
        <v>155000</v>
      </c>
      <c r="P199" s="159"/>
      <c r="Q199" s="165">
        <f t="shared" si="130"/>
        <v>155000</v>
      </c>
      <c r="R199" s="166">
        <f t="shared" si="130"/>
        <v>0</v>
      </c>
      <c r="S199" s="156"/>
      <c r="T199" s="160"/>
      <c r="U199" s="157"/>
      <c r="V199" s="161">
        <v>155000</v>
      </c>
      <c r="W199" s="158">
        <v>155000</v>
      </c>
      <c r="X199" s="160"/>
      <c r="Y199" s="160"/>
      <c r="Z199" s="160"/>
      <c r="AA199" s="160">
        <f>W199</f>
        <v>155000</v>
      </c>
      <c r="AB199" s="159"/>
      <c r="AC199" s="158">
        <f>V199-W199</f>
        <v>0</v>
      </c>
      <c r="AD199" s="160"/>
      <c r="AE199" s="160"/>
      <c r="AF199" s="157"/>
      <c r="AG199" s="157"/>
      <c r="AH199" s="159"/>
      <c r="AI199" s="35">
        <f t="shared" si="129"/>
        <v>0</v>
      </c>
      <c r="AJ199" s="11">
        <f t="shared" si="129"/>
        <v>0</v>
      </c>
      <c r="AK199" s="11">
        <f t="shared" si="129"/>
        <v>0</v>
      </c>
      <c r="AL199" s="11">
        <f t="shared" si="129"/>
        <v>155000</v>
      </c>
      <c r="AM199" s="76">
        <f t="shared" si="129"/>
        <v>0</v>
      </c>
      <c r="AN199" s="51">
        <f>SUM(AJ199:AM199)</f>
        <v>155000</v>
      </c>
      <c r="AO199" s="36"/>
      <c r="AP199" s="9"/>
      <c r="AQ199" s="9"/>
      <c r="AR199" s="9"/>
      <c r="AS199" s="9"/>
      <c r="AT199" s="9"/>
      <c r="AU199" s="9"/>
      <c r="AV199" s="9"/>
      <c r="AW199" s="10"/>
      <c r="AY199" s="11">
        <f t="shared" si="131"/>
        <v>0</v>
      </c>
    </row>
    <row r="200" spans="5:51" ht="60" customHeight="1" x14ac:dyDescent="0.2">
      <c r="E200" s="149"/>
      <c r="F200" s="127" t="s">
        <v>101</v>
      </c>
      <c r="G200" s="118">
        <f t="shared" ref="G200:AV200" si="132">SUM(G195:G199)</f>
        <v>700000</v>
      </c>
      <c r="H200" s="116">
        <f t="shared" si="132"/>
        <v>500000</v>
      </c>
      <c r="I200" s="115">
        <f t="shared" si="132"/>
        <v>1075000</v>
      </c>
      <c r="J200" s="117">
        <f t="shared" si="132"/>
        <v>1075000</v>
      </c>
      <c r="K200" s="115">
        <f t="shared" si="132"/>
        <v>1150000</v>
      </c>
      <c r="L200" s="117">
        <f t="shared" si="132"/>
        <v>1150301</v>
      </c>
      <c r="M200" s="115">
        <f t="shared" si="132"/>
        <v>1735000</v>
      </c>
      <c r="N200" s="117">
        <f t="shared" si="132"/>
        <v>1596272</v>
      </c>
      <c r="O200" s="115">
        <f t="shared" si="132"/>
        <v>4055000</v>
      </c>
      <c r="P200" s="117">
        <f t="shared" si="132"/>
        <v>1550000</v>
      </c>
      <c r="Q200" s="115">
        <f t="shared" si="132"/>
        <v>2320000</v>
      </c>
      <c r="R200" s="117">
        <f t="shared" si="132"/>
        <v>-46272</v>
      </c>
      <c r="S200" s="118">
        <f t="shared" si="132"/>
        <v>290000</v>
      </c>
      <c r="T200" s="120">
        <f t="shared" si="132"/>
        <v>0</v>
      </c>
      <c r="U200" s="116">
        <f t="shared" si="132"/>
        <v>290000</v>
      </c>
      <c r="V200" s="119">
        <f t="shared" si="132"/>
        <v>5105000</v>
      </c>
      <c r="W200" s="115">
        <f t="shared" ref="W200:AM200" si="133">SUM(W195:W199)</f>
        <v>1255000</v>
      </c>
      <c r="X200" s="120">
        <f t="shared" si="133"/>
        <v>0</v>
      </c>
      <c r="Y200" s="120">
        <f t="shared" si="133"/>
        <v>0</v>
      </c>
      <c r="Z200" s="120">
        <f t="shared" si="133"/>
        <v>0</v>
      </c>
      <c r="AA200" s="120">
        <f t="shared" si="133"/>
        <v>705000</v>
      </c>
      <c r="AB200" s="117">
        <f t="shared" si="133"/>
        <v>550000</v>
      </c>
      <c r="AC200" s="115">
        <f t="shared" si="133"/>
        <v>3850000</v>
      </c>
      <c r="AD200" s="120">
        <f t="shared" si="133"/>
        <v>0</v>
      </c>
      <c r="AE200" s="120">
        <f t="shared" si="133"/>
        <v>0</v>
      </c>
      <c r="AF200" s="116">
        <f t="shared" si="133"/>
        <v>0</v>
      </c>
      <c r="AG200" s="116">
        <f t="shared" si="133"/>
        <v>1925000</v>
      </c>
      <c r="AH200" s="117">
        <f t="shared" si="133"/>
        <v>1925000</v>
      </c>
      <c r="AI200" s="47">
        <f t="shared" si="133"/>
        <v>0</v>
      </c>
      <c r="AJ200" s="10">
        <f t="shared" si="133"/>
        <v>0</v>
      </c>
      <c r="AK200" s="10">
        <f t="shared" si="133"/>
        <v>0</v>
      </c>
      <c r="AL200" s="10">
        <f t="shared" si="133"/>
        <v>2630000</v>
      </c>
      <c r="AM200" s="48">
        <f t="shared" si="133"/>
        <v>2475000</v>
      </c>
      <c r="AN200" s="52">
        <f t="shared" si="132"/>
        <v>5105000</v>
      </c>
      <c r="AO200" s="39">
        <f t="shared" si="132"/>
        <v>0</v>
      </c>
      <c r="AP200" s="10">
        <f t="shared" si="132"/>
        <v>0</v>
      </c>
      <c r="AQ200" s="10">
        <f t="shared" si="132"/>
        <v>0</v>
      </c>
      <c r="AR200" s="10">
        <f t="shared" si="132"/>
        <v>0</v>
      </c>
      <c r="AS200" s="10">
        <f t="shared" si="132"/>
        <v>0</v>
      </c>
      <c r="AT200" s="10">
        <f t="shared" si="132"/>
        <v>0</v>
      </c>
      <c r="AU200" s="10">
        <f t="shared" si="132"/>
        <v>0</v>
      </c>
      <c r="AV200" s="10">
        <f t="shared" si="132"/>
        <v>0</v>
      </c>
      <c r="AW200" s="10">
        <f t="shared" si="128"/>
        <v>0</v>
      </c>
      <c r="AY200" s="11">
        <f t="shared" si="131"/>
        <v>0</v>
      </c>
    </row>
    <row r="201" spans="5:51" ht="60" customHeight="1" x14ac:dyDescent="0.2">
      <c r="E201" s="150"/>
      <c r="F201" s="127" t="s">
        <v>102</v>
      </c>
      <c r="G201" s="118">
        <f t="shared" ref="G201:AV201" si="134">G200+G193+G170</f>
        <v>41203000</v>
      </c>
      <c r="H201" s="116">
        <f t="shared" si="134"/>
        <v>37593521</v>
      </c>
      <c r="I201" s="115">
        <f t="shared" si="134"/>
        <v>37216000</v>
      </c>
      <c r="J201" s="117">
        <f t="shared" si="134"/>
        <v>29040000</v>
      </c>
      <c r="K201" s="115">
        <f t="shared" si="134"/>
        <v>40290750</v>
      </c>
      <c r="L201" s="117">
        <f t="shared" si="134"/>
        <v>32411571</v>
      </c>
      <c r="M201" s="115">
        <f t="shared" si="134"/>
        <v>46975000</v>
      </c>
      <c r="N201" s="117">
        <f t="shared" si="134"/>
        <v>42946955</v>
      </c>
      <c r="O201" s="115">
        <f t="shared" si="134"/>
        <v>107280000</v>
      </c>
      <c r="P201" s="117">
        <f t="shared" si="134"/>
        <v>95201684</v>
      </c>
      <c r="Q201" s="115">
        <f t="shared" si="134"/>
        <v>60305000</v>
      </c>
      <c r="R201" s="117">
        <f t="shared" si="134"/>
        <v>52254729</v>
      </c>
      <c r="S201" s="118">
        <f t="shared" si="134"/>
        <v>23530000</v>
      </c>
      <c r="T201" s="120">
        <f t="shared" si="134"/>
        <v>3310000</v>
      </c>
      <c r="U201" s="116">
        <f t="shared" si="134"/>
        <v>20220000</v>
      </c>
      <c r="V201" s="119">
        <f t="shared" si="134"/>
        <v>67305000</v>
      </c>
      <c r="W201" s="115">
        <f t="shared" ref="W201:AM201" si="135">W200+W193+W170</f>
        <v>44375000</v>
      </c>
      <c r="X201" s="120">
        <f t="shared" si="135"/>
        <v>7611000</v>
      </c>
      <c r="Y201" s="120">
        <f t="shared" si="135"/>
        <v>2050000</v>
      </c>
      <c r="Z201" s="120">
        <f t="shared" si="135"/>
        <v>0</v>
      </c>
      <c r="AA201" s="120">
        <f t="shared" si="135"/>
        <v>20089000</v>
      </c>
      <c r="AB201" s="117">
        <f t="shared" si="135"/>
        <v>14625000</v>
      </c>
      <c r="AC201" s="115">
        <f t="shared" si="135"/>
        <v>22930000</v>
      </c>
      <c r="AD201" s="120">
        <f t="shared" si="135"/>
        <v>0</v>
      </c>
      <c r="AE201" s="120">
        <f t="shared" si="135"/>
        <v>0</v>
      </c>
      <c r="AF201" s="116">
        <f t="shared" si="135"/>
        <v>0</v>
      </c>
      <c r="AG201" s="116">
        <f t="shared" si="135"/>
        <v>15580000</v>
      </c>
      <c r="AH201" s="117">
        <f t="shared" si="135"/>
        <v>7350000</v>
      </c>
      <c r="AI201" s="47">
        <f t="shared" si="135"/>
        <v>7611000</v>
      </c>
      <c r="AJ201" s="10">
        <f t="shared" si="135"/>
        <v>2050000</v>
      </c>
      <c r="AK201" s="10">
        <f t="shared" si="135"/>
        <v>0</v>
      </c>
      <c r="AL201" s="10">
        <f t="shared" si="135"/>
        <v>35669000</v>
      </c>
      <c r="AM201" s="48">
        <f t="shared" si="135"/>
        <v>21975000</v>
      </c>
      <c r="AN201" s="52">
        <f t="shared" si="134"/>
        <v>58494000</v>
      </c>
      <c r="AO201" s="39">
        <f t="shared" si="134"/>
        <v>0</v>
      </c>
      <c r="AP201" s="10">
        <f t="shared" si="134"/>
        <v>0</v>
      </c>
      <c r="AQ201" s="10">
        <f t="shared" si="134"/>
        <v>0</v>
      </c>
      <c r="AR201" s="10">
        <f t="shared" si="134"/>
        <v>0</v>
      </c>
      <c r="AS201" s="10">
        <f t="shared" si="134"/>
        <v>0</v>
      </c>
      <c r="AT201" s="10">
        <f t="shared" si="134"/>
        <v>0</v>
      </c>
      <c r="AU201" s="10">
        <f t="shared" si="134"/>
        <v>0</v>
      </c>
      <c r="AV201" s="10">
        <f t="shared" si="134"/>
        <v>0</v>
      </c>
      <c r="AW201" s="10">
        <f t="shared" si="128"/>
        <v>0</v>
      </c>
      <c r="AY201" s="11">
        <f t="shared" si="131"/>
        <v>0</v>
      </c>
    </row>
    <row r="202" spans="5:51" ht="60" customHeight="1" x14ac:dyDescent="0.2">
      <c r="E202" s="151"/>
      <c r="F202" s="155" t="s">
        <v>103</v>
      </c>
      <c r="G202" s="173"/>
      <c r="H202" s="174"/>
      <c r="I202" s="175"/>
      <c r="J202" s="176"/>
      <c r="K202" s="175"/>
      <c r="L202" s="176"/>
      <c r="M202" s="175"/>
      <c r="N202" s="176"/>
      <c r="O202" s="175"/>
      <c r="P202" s="176"/>
      <c r="Q202" s="175"/>
      <c r="R202" s="176"/>
      <c r="S202" s="156"/>
      <c r="T202" s="160"/>
      <c r="U202" s="157"/>
      <c r="V202" s="161"/>
      <c r="W202" s="158"/>
      <c r="X202" s="160"/>
      <c r="Y202" s="160"/>
      <c r="Z202" s="160"/>
      <c r="AA202" s="160"/>
      <c r="AB202" s="159"/>
      <c r="AC202" s="158"/>
      <c r="AD202" s="160"/>
      <c r="AE202" s="160"/>
      <c r="AF202" s="157"/>
      <c r="AG202" s="157"/>
      <c r="AH202" s="159"/>
      <c r="AI202" s="45"/>
      <c r="AJ202" s="9"/>
      <c r="AK202" s="9"/>
      <c r="AL202" s="9"/>
      <c r="AM202" s="46"/>
      <c r="AN202" s="53"/>
      <c r="AO202" s="41"/>
      <c r="AP202" s="14"/>
      <c r="AQ202" s="14"/>
      <c r="AR202" s="14"/>
      <c r="AS202" s="14"/>
      <c r="AT202" s="14"/>
      <c r="AU202" s="14"/>
      <c r="AV202" s="9"/>
      <c r="AW202" s="10">
        <f t="shared" si="128"/>
        <v>0</v>
      </c>
      <c r="AY202" s="11">
        <f t="shared" si="131"/>
        <v>0</v>
      </c>
    </row>
    <row r="203" spans="5:51" ht="60" customHeight="1" x14ac:dyDescent="0.2">
      <c r="E203" s="151">
        <v>40100</v>
      </c>
      <c r="F203" s="155" t="s">
        <v>104</v>
      </c>
      <c r="G203" s="173"/>
      <c r="H203" s="174"/>
      <c r="I203" s="175"/>
      <c r="J203" s="176"/>
      <c r="K203" s="175"/>
      <c r="L203" s="176"/>
      <c r="M203" s="175"/>
      <c r="N203" s="176"/>
      <c r="O203" s="175"/>
      <c r="P203" s="176"/>
      <c r="Q203" s="175"/>
      <c r="R203" s="176"/>
      <c r="S203" s="156"/>
      <c r="T203" s="160"/>
      <c r="U203" s="157"/>
      <c r="V203" s="161"/>
      <c r="W203" s="158"/>
      <c r="X203" s="160"/>
      <c r="Y203" s="160"/>
      <c r="Z203" s="160"/>
      <c r="AA203" s="160"/>
      <c r="AB203" s="159"/>
      <c r="AC203" s="158"/>
      <c r="AD203" s="160"/>
      <c r="AE203" s="160"/>
      <c r="AF203" s="157"/>
      <c r="AG203" s="157"/>
      <c r="AH203" s="159"/>
      <c r="AI203" s="45"/>
      <c r="AJ203" s="9"/>
      <c r="AK203" s="9"/>
      <c r="AL203" s="9"/>
      <c r="AM203" s="46"/>
      <c r="AN203" s="53"/>
      <c r="AO203" s="41"/>
      <c r="AP203" s="14"/>
      <c r="AQ203" s="14"/>
      <c r="AR203" s="14"/>
      <c r="AS203" s="14"/>
      <c r="AT203" s="14"/>
      <c r="AU203" s="14"/>
      <c r="AV203" s="9"/>
      <c r="AW203" s="10">
        <f t="shared" si="128"/>
        <v>0</v>
      </c>
      <c r="AY203" s="11">
        <f t="shared" si="131"/>
        <v>0</v>
      </c>
    </row>
    <row r="204" spans="5:51" ht="60" customHeight="1" x14ac:dyDescent="0.2">
      <c r="E204" s="151">
        <f t="shared" ref="E204:E209" si="136">+E203+1</f>
        <v>40101</v>
      </c>
      <c r="F204" s="170" t="s">
        <v>105</v>
      </c>
      <c r="G204" s="173">
        <v>1330000</v>
      </c>
      <c r="H204" s="174">
        <v>1330000</v>
      </c>
      <c r="I204" s="175">
        <v>556000</v>
      </c>
      <c r="J204" s="176">
        <v>544500</v>
      </c>
      <c r="K204" s="175">
        <v>930000</v>
      </c>
      <c r="L204" s="176">
        <f>300000+130000+300000</f>
        <v>730000</v>
      </c>
      <c r="M204" s="175">
        <v>500000</v>
      </c>
      <c r="N204" s="176">
        <v>500000</v>
      </c>
      <c r="O204" s="175">
        <v>3330000</v>
      </c>
      <c r="P204" s="176">
        <f>2506000-147</f>
        <v>2505853</v>
      </c>
      <c r="Q204" s="165">
        <f>O204-M204</f>
        <v>2830000</v>
      </c>
      <c r="R204" s="166">
        <f>P204-N204</f>
        <v>2005853</v>
      </c>
      <c r="S204" s="156">
        <v>1170000</v>
      </c>
      <c r="T204" s="160"/>
      <c r="U204" s="164">
        <f>S204</f>
        <v>1170000</v>
      </c>
      <c r="V204" s="161">
        <v>3592000</v>
      </c>
      <c r="W204" s="158">
        <v>500000</v>
      </c>
      <c r="X204" s="160"/>
      <c r="Y204" s="160"/>
      <c r="Z204" s="160"/>
      <c r="AA204" s="160">
        <f>W204/2</f>
        <v>250000</v>
      </c>
      <c r="AB204" s="159">
        <f>W204-AA204</f>
        <v>250000</v>
      </c>
      <c r="AC204" s="158">
        <f t="shared" ref="AC204:AC209" si="137">V204-W204</f>
        <v>3092000</v>
      </c>
      <c r="AD204" s="160"/>
      <c r="AE204" s="160"/>
      <c r="AF204" s="157"/>
      <c r="AG204" s="160">
        <f>AC204/2</f>
        <v>1546000</v>
      </c>
      <c r="AH204" s="159">
        <f>AC204-AG204</f>
        <v>1546000</v>
      </c>
      <c r="AI204" s="35">
        <f t="shared" ref="AI204:AI209" si="138">AD204+X204</f>
        <v>0</v>
      </c>
      <c r="AJ204" s="11">
        <f t="shared" ref="AJ204:AJ209" si="139">AE204+Y204</f>
        <v>0</v>
      </c>
      <c r="AK204" s="11">
        <f t="shared" ref="AK204:AK209" si="140">AF204+Z204</f>
        <v>0</v>
      </c>
      <c r="AL204" s="11">
        <f t="shared" ref="AL204:AL209" si="141">AG204+AA204</f>
        <v>1796000</v>
      </c>
      <c r="AM204" s="76">
        <f t="shared" ref="AM204:AM209" si="142">AH204+AB204</f>
        <v>1796000</v>
      </c>
      <c r="AN204" s="51">
        <f t="shared" ref="AN204:AN209" si="143">SUM(AJ204:AM204)</f>
        <v>3592000</v>
      </c>
      <c r="AO204" s="36"/>
      <c r="AP204" s="14"/>
      <c r="AQ204" s="14"/>
      <c r="AR204" s="14"/>
      <c r="AS204" s="14"/>
      <c r="AT204" s="14"/>
      <c r="AU204" s="14"/>
      <c r="AV204" s="9">
        <f>AU204+AT204+AS204+AR204</f>
        <v>0</v>
      </c>
      <c r="AW204" s="10">
        <f t="shared" si="128"/>
        <v>0</v>
      </c>
      <c r="AY204" s="11">
        <f t="shared" si="131"/>
        <v>0</v>
      </c>
    </row>
    <row r="205" spans="5:51" ht="60" customHeight="1" x14ac:dyDescent="0.2">
      <c r="E205" s="151">
        <f t="shared" si="136"/>
        <v>40102</v>
      </c>
      <c r="F205" s="170" t="s">
        <v>106</v>
      </c>
      <c r="G205" s="173">
        <v>150000</v>
      </c>
      <c r="H205" s="174">
        <v>150000</v>
      </c>
      <c r="I205" s="175">
        <v>100000</v>
      </c>
      <c r="J205" s="176">
        <f>I205</f>
        <v>100000</v>
      </c>
      <c r="K205" s="175">
        <v>100000</v>
      </c>
      <c r="L205" s="176">
        <v>100000</v>
      </c>
      <c r="M205" s="175">
        <v>200000</v>
      </c>
      <c r="N205" s="176">
        <v>200000</v>
      </c>
      <c r="O205" s="175">
        <v>200000</v>
      </c>
      <c r="P205" s="176">
        <v>-392463</v>
      </c>
      <c r="Q205" s="165">
        <f t="shared" ref="Q205:R209" si="144">O205-M205</f>
        <v>0</v>
      </c>
      <c r="R205" s="166">
        <f t="shared" si="144"/>
        <v>-592463</v>
      </c>
      <c r="S205" s="156">
        <v>386000</v>
      </c>
      <c r="T205" s="160"/>
      <c r="U205" s="164">
        <f>S205</f>
        <v>386000</v>
      </c>
      <c r="V205" s="161">
        <v>600000</v>
      </c>
      <c r="W205" s="158">
        <v>200000</v>
      </c>
      <c r="X205" s="160"/>
      <c r="Y205" s="160">
        <f>W205</f>
        <v>200000</v>
      </c>
      <c r="Z205" s="160"/>
      <c r="AA205" s="160"/>
      <c r="AB205" s="159"/>
      <c r="AC205" s="158">
        <f t="shared" si="137"/>
        <v>400000</v>
      </c>
      <c r="AD205" s="160"/>
      <c r="AE205" s="160">
        <f>AC205</f>
        <v>400000</v>
      </c>
      <c r="AF205" s="157"/>
      <c r="AG205" s="157"/>
      <c r="AH205" s="159"/>
      <c r="AI205" s="35">
        <f t="shared" si="138"/>
        <v>0</v>
      </c>
      <c r="AJ205" s="11">
        <f t="shared" si="139"/>
        <v>600000</v>
      </c>
      <c r="AK205" s="11">
        <f t="shared" si="140"/>
        <v>0</v>
      </c>
      <c r="AL205" s="11">
        <f t="shared" si="141"/>
        <v>0</v>
      </c>
      <c r="AM205" s="76">
        <f t="shared" si="142"/>
        <v>0</v>
      </c>
      <c r="AN205" s="51">
        <f t="shared" si="143"/>
        <v>600000</v>
      </c>
      <c r="AO205" s="36"/>
      <c r="AP205" s="14"/>
      <c r="AQ205" s="14"/>
      <c r="AR205" s="14"/>
      <c r="AS205" s="14"/>
      <c r="AT205" s="14"/>
      <c r="AU205" s="14"/>
      <c r="AV205" s="9">
        <f>AU205+AT205+AS205+AR205</f>
        <v>0</v>
      </c>
      <c r="AW205" s="10">
        <f t="shared" si="128"/>
        <v>0</v>
      </c>
      <c r="AY205" s="11">
        <f t="shared" si="131"/>
        <v>0</v>
      </c>
    </row>
    <row r="206" spans="5:51" ht="60" customHeight="1" x14ac:dyDescent="0.2">
      <c r="E206" s="151">
        <f t="shared" si="136"/>
        <v>40103</v>
      </c>
      <c r="F206" s="170" t="s">
        <v>259</v>
      </c>
      <c r="G206" s="173">
        <v>200000</v>
      </c>
      <c r="H206" s="174">
        <f>G206</f>
        <v>200000</v>
      </c>
      <c r="I206" s="175"/>
      <c r="J206" s="176"/>
      <c r="K206" s="175">
        <v>150000</v>
      </c>
      <c r="L206" s="176">
        <v>150000</v>
      </c>
      <c r="M206" s="175">
        <v>200000</v>
      </c>
      <c r="N206" s="176">
        <v>200000</v>
      </c>
      <c r="O206" s="175">
        <v>200000</v>
      </c>
      <c r="P206" s="176">
        <v>50000</v>
      </c>
      <c r="Q206" s="165">
        <f t="shared" si="144"/>
        <v>0</v>
      </c>
      <c r="R206" s="166">
        <f t="shared" si="144"/>
        <v>-150000</v>
      </c>
      <c r="S206" s="156">
        <v>113000</v>
      </c>
      <c r="T206" s="160"/>
      <c r="U206" s="157">
        <f>S206</f>
        <v>113000</v>
      </c>
      <c r="V206" s="161">
        <v>200000</v>
      </c>
      <c r="W206" s="158">
        <v>100000</v>
      </c>
      <c r="X206" s="160"/>
      <c r="Y206" s="160"/>
      <c r="Z206" s="160"/>
      <c r="AA206" s="160">
        <f>W206</f>
        <v>100000</v>
      </c>
      <c r="AB206" s="159"/>
      <c r="AC206" s="158">
        <f t="shared" si="137"/>
        <v>100000</v>
      </c>
      <c r="AD206" s="160"/>
      <c r="AE206" s="160"/>
      <c r="AF206" s="157"/>
      <c r="AG206" s="157">
        <f>AC206</f>
        <v>100000</v>
      </c>
      <c r="AH206" s="159"/>
      <c r="AI206" s="35">
        <f t="shared" si="138"/>
        <v>0</v>
      </c>
      <c r="AJ206" s="11">
        <f t="shared" si="139"/>
        <v>0</v>
      </c>
      <c r="AK206" s="11">
        <f t="shared" si="140"/>
        <v>0</v>
      </c>
      <c r="AL206" s="11">
        <f t="shared" si="141"/>
        <v>200000</v>
      </c>
      <c r="AM206" s="76">
        <f t="shared" si="142"/>
        <v>0</v>
      </c>
      <c r="AN206" s="51">
        <f t="shared" si="143"/>
        <v>200000</v>
      </c>
      <c r="AO206" s="36"/>
      <c r="AP206" s="14"/>
      <c r="AQ206" s="14"/>
      <c r="AR206" s="14"/>
      <c r="AS206" s="14"/>
      <c r="AT206" s="14"/>
      <c r="AU206" s="14"/>
      <c r="AV206" s="9">
        <f>AU206+AT206+AS206+AR206</f>
        <v>0</v>
      </c>
      <c r="AW206" s="10">
        <f t="shared" si="128"/>
        <v>0</v>
      </c>
      <c r="AY206" s="11">
        <f t="shared" si="131"/>
        <v>0</v>
      </c>
    </row>
    <row r="207" spans="5:51" ht="60" customHeight="1" x14ac:dyDescent="0.2">
      <c r="E207" s="151">
        <f t="shared" si="136"/>
        <v>40104</v>
      </c>
      <c r="F207" s="170" t="s">
        <v>107</v>
      </c>
      <c r="G207" s="173">
        <v>30000</v>
      </c>
      <c r="H207" s="174"/>
      <c r="I207" s="175">
        <v>30000</v>
      </c>
      <c r="J207" s="176">
        <f>I207</f>
        <v>30000</v>
      </c>
      <c r="K207" s="175">
        <v>30000</v>
      </c>
      <c r="L207" s="176">
        <v>30000</v>
      </c>
      <c r="M207" s="175">
        <v>30000</v>
      </c>
      <c r="N207" s="176">
        <v>30000</v>
      </c>
      <c r="O207" s="175">
        <v>30000</v>
      </c>
      <c r="P207" s="176">
        <v>10000</v>
      </c>
      <c r="Q207" s="165">
        <f t="shared" si="144"/>
        <v>0</v>
      </c>
      <c r="R207" s="166">
        <f t="shared" si="144"/>
        <v>-20000</v>
      </c>
      <c r="S207" s="156">
        <v>53000</v>
      </c>
      <c r="T207" s="160"/>
      <c r="U207" s="164">
        <f>S207</f>
        <v>53000</v>
      </c>
      <c r="V207" s="161">
        <v>30000</v>
      </c>
      <c r="W207" s="158">
        <v>30000</v>
      </c>
      <c r="X207" s="160"/>
      <c r="Y207" s="160"/>
      <c r="Z207" s="160">
        <f>W207</f>
        <v>30000</v>
      </c>
      <c r="AA207" s="160"/>
      <c r="AB207" s="159"/>
      <c r="AC207" s="158">
        <f t="shared" si="137"/>
        <v>0</v>
      </c>
      <c r="AD207" s="160"/>
      <c r="AE207" s="160"/>
      <c r="AF207" s="157"/>
      <c r="AG207" s="157"/>
      <c r="AH207" s="159">
        <f>V207-Z207</f>
        <v>0</v>
      </c>
      <c r="AI207" s="35">
        <f t="shared" si="138"/>
        <v>0</v>
      </c>
      <c r="AJ207" s="11">
        <f t="shared" si="139"/>
        <v>0</v>
      </c>
      <c r="AK207" s="11">
        <f t="shared" si="140"/>
        <v>30000</v>
      </c>
      <c r="AL207" s="11">
        <f t="shared" si="141"/>
        <v>0</v>
      </c>
      <c r="AM207" s="76">
        <f t="shared" si="142"/>
        <v>0</v>
      </c>
      <c r="AN207" s="51">
        <f t="shared" si="143"/>
        <v>30000</v>
      </c>
      <c r="AO207" s="36"/>
      <c r="AP207" s="14"/>
      <c r="AQ207" s="14"/>
      <c r="AR207" s="14"/>
      <c r="AS207" s="14"/>
      <c r="AT207" s="14"/>
      <c r="AU207" s="14"/>
      <c r="AV207" s="9">
        <f>AU207+AT207+AS207+AR207</f>
        <v>0</v>
      </c>
      <c r="AW207" s="10">
        <f t="shared" si="128"/>
        <v>0</v>
      </c>
      <c r="AY207" s="11">
        <f t="shared" si="131"/>
        <v>0</v>
      </c>
    </row>
    <row r="208" spans="5:51" ht="60" customHeight="1" x14ac:dyDescent="0.2">
      <c r="E208" s="151">
        <f t="shared" si="136"/>
        <v>40105</v>
      </c>
      <c r="F208" s="170" t="s">
        <v>341</v>
      </c>
      <c r="G208" s="173"/>
      <c r="H208" s="174"/>
      <c r="I208" s="175"/>
      <c r="J208" s="176"/>
      <c r="K208" s="175"/>
      <c r="L208" s="176"/>
      <c r="M208" s="175">
        <v>3200000</v>
      </c>
      <c r="N208" s="176">
        <v>3200000</v>
      </c>
      <c r="O208" s="175">
        <f>750000+1200000</f>
        <v>1950000</v>
      </c>
      <c r="P208" s="176">
        <v>1450000</v>
      </c>
      <c r="Q208" s="165">
        <f t="shared" si="144"/>
        <v>-1250000</v>
      </c>
      <c r="R208" s="166">
        <f t="shared" si="144"/>
        <v>-1750000</v>
      </c>
      <c r="S208" s="156">
        <v>222000</v>
      </c>
      <c r="T208" s="160">
        <f>S208*0.53</f>
        <v>117660</v>
      </c>
      <c r="U208" s="164">
        <f>S208-T208</f>
        <v>104340</v>
      </c>
      <c r="V208" s="161">
        <v>1650000</v>
      </c>
      <c r="W208" s="158">
        <v>1650000</v>
      </c>
      <c r="X208" s="160">
        <v>1200000</v>
      </c>
      <c r="Y208" s="160"/>
      <c r="Z208" s="160"/>
      <c r="AA208" s="160">
        <f>W208-X208</f>
        <v>450000</v>
      </c>
      <c r="AB208" s="159"/>
      <c r="AC208" s="158">
        <f t="shared" si="137"/>
        <v>0</v>
      </c>
      <c r="AD208" s="160"/>
      <c r="AE208" s="160"/>
      <c r="AF208" s="157"/>
      <c r="AG208" s="157"/>
      <c r="AH208" s="159"/>
      <c r="AI208" s="35">
        <f t="shared" si="138"/>
        <v>1200000</v>
      </c>
      <c r="AJ208" s="11">
        <f t="shared" si="139"/>
        <v>0</v>
      </c>
      <c r="AK208" s="11">
        <f t="shared" si="140"/>
        <v>0</v>
      </c>
      <c r="AL208" s="11">
        <f t="shared" si="141"/>
        <v>450000</v>
      </c>
      <c r="AM208" s="76">
        <f t="shared" si="142"/>
        <v>0</v>
      </c>
      <c r="AN208" s="51">
        <f t="shared" si="143"/>
        <v>450000</v>
      </c>
      <c r="AO208" s="36"/>
      <c r="AP208" s="14"/>
      <c r="AQ208" s="14"/>
      <c r="AR208" s="14"/>
      <c r="AS208" s="14"/>
      <c r="AT208" s="14"/>
      <c r="AU208" s="14"/>
      <c r="AV208" s="9"/>
      <c r="AW208" s="10"/>
      <c r="AY208" s="11">
        <f t="shared" si="131"/>
        <v>0</v>
      </c>
    </row>
    <row r="209" spans="5:55" ht="60" customHeight="1" x14ac:dyDescent="0.2">
      <c r="E209" s="151">
        <f t="shared" si="136"/>
        <v>40106</v>
      </c>
      <c r="F209" s="162" t="s">
        <v>312</v>
      </c>
      <c r="G209" s="173"/>
      <c r="H209" s="174"/>
      <c r="I209" s="175"/>
      <c r="J209" s="176"/>
      <c r="K209" s="175">
        <v>55000</v>
      </c>
      <c r="L209" s="176">
        <v>55000</v>
      </c>
      <c r="M209" s="175">
        <v>55000</v>
      </c>
      <c r="N209" s="176">
        <v>55000</v>
      </c>
      <c r="O209" s="175"/>
      <c r="P209" s="176"/>
      <c r="Q209" s="165">
        <f t="shared" si="144"/>
        <v>-55000</v>
      </c>
      <c r="R209" s="166">
        <f t="shared" si="144"/>
        <v>-55000</v>
      </c>
      <c r="S209" s="156">
        <v>9000</v>
      </c>
      <c r="T209" s="160"/>
      <c r="U209" s="164">
        <f>S209</f>
        <v>9000</v>
      </c>
      <c r="V209" s="161">
        <v>50000</v>
      </c>
      <c r="W209" s="158">
        <v>20000</v>
      </c>
      <c r="X209" s="160"/>
      <c r="Y209" s="160"/>
      <c r="Z209" s="160"/>
      <c r="AA209" s="160">
        <f>W209</f>
        <v>20000</v>
      </c>
      <c r="AB209" s="159"/>
      <c r="AC209" s="158">
        <f t="shared" si="137"/>
        <v>30000</v>
      </c>
      <c r="AD209" s="160"/>
      <c r="AE209" s="160"/>
      <c r="AF209" s="157"/>
      <c r="AG209" s="157">
        <f>AC209</f>
        <v>30000</v>
      </c>
      <c r="AH209" s="159"/>
      <c r="AI209" s="35">
        <f t="shared" si="138"/>
        <v>0</v>
      </c>
      <c r="AJ209" s="11">
        <f t="shared" si="139"/>
        <v>0</v>
      </c>
      <c r="AK209" s="11">
        <f t="shared" si="140"/>
        <v>0</v>
      </c>
      <c r="AL209" s="11">
        <f t="shared" si="141"/>
        <v>50000</v>
      </c>
      <c r="AM209" s="76">
        <f t="shared" si="142"/>
        <v>0</v>
      </c>
      <c r="AN209" s="51">
        <f t="shared" si="143"/>
        <v>50000</v>
      </c>
      <c r="AO209" s="36"/>
      <c r="AP209" s="14"/>
      <c r="AQ209" s="14"/>
      <c r="AR209" s="14"/>
      <c r="AS209" s="14"/>
      <c r="AT209" s="14"/>
      <c r="AU209" s="14"/>
      <c r="AV209" s="9"/>
      <c r="AW209" s="10"/>
      <c r="AY209" s="11">
        <f t="shared" si="131"/>
        <v>0</v>
      </c>
    </row>
    <row r="210" spans="5:55" ht="60" customHeight="1" x14ac:dyDescent="0.2">
      <c r="E210" s="149"/>
      <c r="F210" s="127" t="s">
        <v>108</v>
      </c>
      <c r="G210" s="118">
        <f t="shared" ref="G210:AV210" si="145">SUM(G204:G209)</f>
        <v>1710000</v>
      </c>
      <c r="H210" s="116">
        <f t="shared" si="145"/>
        <v>1680000</v>
      </c>
      <c r="I210" s="115">
        <f t="shared" si="145"/>
        <v>686000</v>
      </c>
      <c r="J210" s="117">
        <f t="shared" si="145"/>
        <v>674500</v>
      </c>
      <c r="K210" s="115">
        <f t="shared" si="145"/>
        <v>1265000</v>
      </c>
      <c r="L210" s="117">
        <f t="shared" si="145"/>
        <v>1065000</v>
      </c>
      <c r="M210" s="115">
        <f t="shared" si="145"/>
        <v>4185000</v>
      </c>
      <c r="N210" s="117">
        <f t="shared" si="145"/>
        <v>4185000</v>
      </c>
      <c r="O210" s="115">
        <f t="shared" si="145"/>
        <v>5710000</v>
      </c>
      <c r="P210" s="117">
        <f t="shared" si="145"/>
        <v>3623390</v>
      </c>
      <c r="Q210" s="115">
        <f t="shared" si="145"/>
        <v>1525000</v>
      </c>
      <c r="R210" s="117">
        <f t="shared" si="145"/>
        <v>-561610</v>
      </c>
      <c r="S210" s="118">
        <f t="shared" si="145"/>
        <v>1953000</v>
      </c>
      <c r="T210" s="120">
        <f t="shared" si="145"/>
        <v>117660</v>
      </c>
      <c r="U210" s="116">
        <f t="shared" si="145"/>
        <v>1835340</v>
      </c>
      <c r="V210" s="119">
        <f t="shared" si="145"/>
        <v>6122000</v>
      </c>
      <c r="W210" s="115">
        <f t="shared" si="145"/>
        <v>2500000</v>
      </c>
      <c r="X210" s="120">
        <f t="shared" si="145"/>
        <v>1200000</v>
      </c>
      <c r="Y210" s="120">
        <f t="shared" si="145"/>
        <v>200000</v>
      </c>
      <c r="Z210" s="120">
        <f t="shared" si="145"/>
        <v>30000</v>
      </c>
      <c r="AA210" s="120">
        <f t="shared" si="145"/>
        <v>820000</v>
      </c>
      <c r="AB210" s="117">
        <f t="shared" si="145"/>
        <v>250000</v>
      </c>
      <c r="AC210" s="115">
        <f t="shared" si="145"/>
        <v>3622000</v>
      </c>
      <c r="AD210" s="120">
        <f t="shared" si="145"/>
        <v>0</v>
      </c>
      <c r="AE210" s="120">
        <f t="shared" si="145"/>
        <v>400000</v>
      </c>
      <c r="AF210" s="116">
        <f t="shared" si="145"/>
        <v>0</v>
      </c>
      <c r="AG210" s="116">
        <f t="shared" si="145"/>
        <v>1676000</v>
      </c>
      <c r="AH210" s="117">
        <f t="shared" si="145"/>
        <v>1546000</v>
      </c>
      <c r="AI210" s="47">
        <f t="shared" si="145"/>
        <v>1200000</v>
      </c>
      <c r="AJ210" s="10">
        <f t="shared" si="145"/>
        <v>600000</v>
      </c>
      <c r="AK210" s="10">
        <f t="shared" si="145"/>
        <v>30000</v>
      </c>
      <c r="AL210" s="10">
        <f t="shared" si="145"/>
        <v>2496000</v>
      </c>
      <c r="AM210" s="48">
        <f t="shared" si="145"/>
        <v>1796000</v>
      </c>
      <c r="AN210" s="52">
        <f t="shared" si="145"/>
        <v>4922000</v>
      </c>
      <c r="AO210" s="39">
        <f t="shared" si="145"/>
        <v>0</v>
      </c>
      <c r="AP210" s="10">
        <f t="shared" si="145"/>
        <v>0</v>
      </c>
      <c r="AQ210" s="10">
        <f t="shared" si="145"/>
        <v>0</v>
      </c>
      <c r="AR210" s="10">
        <f t="shared" si="145"/>
        <v>0</v>
      </c>
      <c r="AS210" s="10">
        <f t="shared" si="145"/>
        <v>0</v>
      </c>
      <c r="AT210" s="10">
        <f t="shared" si="145"/>
        <v>0</v>
      </c>
      <c r="AU210" s="10">
        <f t="shared" si="145"/>
        <v>0</v>
      </c>
      <c r="AV210" s="10">
        <f t="shared" si="145"/>
        <v>0</v>
      </c>
      <c r="AW210" s="10">
        <f t="shared" si="128"/>
        <v>0</v>
      </c>
      <c r="AY210" s="11">
        <f t="shared" si="131"/>
        <v>0</v>
      </c>
      <c r="BC210" s="61"/>
    </row>
    <row r="211" spans="5:55" ht="60" customHeight="1" x14ac:dyDescent="0.2">
      <c r="E211" s="151">
        <v>40200</v>
      </c>
      <c r="F211" s="155" t="s">
        <v>109</v>
      </c>
      <c r="G211" s="173"/>
      <c r="H211" s="174"/>
      <c r="I211" s="175"/>
      <c r="J211" s="176"/>
      <c r="K211" s="175"/>
      <c r="L211" s="176"/>
      <c r="M211" s="175"/>
      <c r="N211" s="176"/>
      <c r="O211" s="175"/>
      <c r="P211" s="176"/>
      <c r="Q211" s="175"/>
      <c r="R211" s="176"/>
      <c r="S211" s="156"/>
      <c r="T211" s="160"/>
      <c r="U211" s="157"/>
      <c r="V211" s="161"/>
      <c r="W211" s="158"/>
      <c r="X211" s="160"/>
      <c r="Y211" s="160"/>
      <c r="Z211" s="160"/>
      <c r="AA211" s="160"/>
      <c r="AB211" s="159"/>
      <c r="AC211" s="158"/>
      <c r="AD211" s="160"/>
      <c r="AE211" s="160"/>
      <c r="AF211" s="157"/>
      <c r="AG211" s="157"/>
      <c r="AH211" s="159"/>
      <c r="AI211" s="45"/>
      <c r="AJ211" s="9"/>
      <c r="AK211" s="9"/>
      <c r="AL211" s="14"/>
      <c r="AM211" s="46"/>
      <c r="AN211" s="50"/>
      <c r="AO211" s="36"/>
      <c r="AP211" s="9"/>
      <c r="AQ211" s="9"/>
      <c r="AR211" s="9"/>
      <c r="AS211" s="9"/>
      <c r="AT211" s="9"/>
      <c r="AU211" s="9"/>
      <c r="AV211" s="9"/>
      <c r="AW211" s="10">
        <f t="shared" si="128"/>
        <v>0</v>
      </c>
      <c r="AY211" s="11">
        <f t="shared" si="131"/>
        <v>0</v>
      </c>
    </row>
    <row r="212" spans="5:55" ht="60" customHeight="1" x14ac:dyDescent="0.2">
      <c r="E212" s="151">
        <f t="shared" ref="E212:E238" si="146">+E211+1</f>
        <v>40201</v>
      </c>
      <c r="F212" s="170" t="s">
        <v>110</v>
      </c>
      <c r="G212" s="177">
        <v>4075000</v>
      </c>
      <c r="H212" s="178">
        <f>G212</f>
        <v>4075000</v>
      </c>
      <c r="I212" s="179">
        <v>3000000</v>
      </c>
      <c r="J212" s="180">
        <v>2934000</v>
      </c>
      <c r="K212" s="179">
        <v>2000000</v>
      </c>
      <c r="L212" s="180">
        <v>2000000</v>
      </c>
      <c r="M212" s="179">
        <v>4152000</v>
      </c>
      <c r="N212" s="180">
        <v>4152000</v>
      </c>
      <c r="O212" s="179">
        <v>7370000</v>
      </c>
      <c r="P212" s="180">
        <v>7140000</v>
      </c>
      <c r="Q212" s="165">
        <f>O212-M212</f>
        <v>3218000</v>
      </c>
      <c r="R212" s="166">
        <f>P212-N212</f>
        <v>2988000</v>
      </c>
      <c r="S212" s="156">
        <v>660000</v>
      </c>
      <c r="T212" s="160"/>
      <c r="U212" s="164">
        <f>S212</f>
        <v>660000</v>
      </c>
      <c r="V212" s="161">
        <v>2350000</v>
      </c>
      <c r="W212" s="158">
        <v>1000000</v>
      </c>
      <c r="X212" s="160"/>
      <c r="Y212" s="160"/>
      <c r="Z212" s="160"/>
      <c r="AA212" s="160">
        <f t="shared" ref="AA212:AA222" si="147">W212</f>
        <v>1000000</v>
      </c>
      <c r="AB212" s="159"/>
      <c r="AC212" s="158">
        <f t="shared" ref="AC212:AC238" si="148">V212-W212</f>
        <v>1350000</v>
      </c>
      <c r="AD212" s="160"/>
      <c r="AE212" s="160"/>
      <c r="AF212" s="157"/>
      <c r="AG212" s="157">
        <f>AC212</f>
        <v>1350000</v>
      </c>
      <c r="AH212" s="159"/>
      <c r="AI212" s="35">
        <f t="shared" ref="AI212:AI238" si="149">AD212+X212</f>
        <v>0</v>
      </c>
      <c r="AJ212" s="11">
        <f t="shared" ref="AJ212:AJ238" si="150">AE212+Y212</f>
        <v>0</v>
      </c>
      <c r="AK212" s="11">
        <f t="shared" ref="AK212:AK238" si="151">AF212+Z212</f>
        <v>0</v>
      </c>
      <c r="AL212" s="11">
        <f t="shared" ref="AL212:AL238" si="152">AG212+AA212</f>
        <v>2350000</v>
      </c>
      <c r="AM212" s="76">
        <f t="shared" ref="AM212:AM238" si="153">AH212+AB212</f>
        <v>0</v>
      </c>
      <c r="AN212" s="51">
        <f t="shared" ref="AN212:AN238" si="154">SUM(AJ212:AM212)</f>
        <v>2350000</v>
      </c>
      <c r="AO212" s="36"/>
      <c r="AP212" s="9"/>
      <c r="AQ212" s="9"/>
      <c r="AR212" s="9"/>
      <c r="AS212" s="9"/>
      <c r="AT212" s="9"/>
      <c r="AU212" s="9"/>
      <c r="AV212" s="9">
        <f t="shared" ref="AV212:AV235" si="155">AU212+AT212+AS212+AR212</f>
        <v>0</v>
      </c>
      <c r="AW212" s="10">
        <f t="shared" si="128"/>
        <v>0</v>
      </c>
      <c r="AY212" s="11">
        <f t="shared" si="131"/>
        <v>0</v>
      </c>
    </row>
    <row r="213" spans="5:55" ht="60" customHeight="1" x14ac:dyDescent="0.2">
      <c r="E213" s="151">
        <f t="shared" si="146"/>
        <v>40202</v>
      </c>
      <c r="F213" s="170" t="s">
        <v>111</v>
      </c>
      <c r="G213" s="177">
        <v>1330000</v>
      </c>
      <c r="H213" s="178">
        <f>G213</f>
        <v>1330000</v>
      </c>
      <c r="I213" s="179">
        <v>900000</v>
      </c>
      <c r="J213" s="180">
        <f>I213</f>
        <v>900000</v>
      </c>
      <c r="K213" s="179">
        <v>1070000</v>
      </c>
      <c r="L213" s="180">
        <v>1070000</v>
      </c>
      <c r="M213" s="179">
        <v>1200000</v>
      </c>
      <c r="N213" s="180">
        <v>1200000</v>
      </c>
      <c r="O213" s="179">
        <v>1800000</v>
      </c>
      <c r="P213" s="180">
        <v>1800000</v>
      </c>
      <c r="Q213" s="165">
        <f t="shared" ref="Q213:R237" si="156">O213-M213</f>
        <v>600000</v>
      </c>
      <c r="R213" s="166">
        <f t="shared" si="156"/>
        <v>600000</v>
      </c>
      <c r="S213" s="156">
        <v>0</v>
      </c>
      <c r="T213" s="160"/>
      <c r="U213" s="157">
        <f>S213</f>
        <v>0</v>
      </c>
      <c r="V213" s="161">
        <v>1800000</v>
      </c>
      <c r="W213" s="158">
        <v>1800000</v>
      </c>
      <c r="X213" s="160"/>
      <c r="Y213" s="160"/>
      <c r="Z213" s="160"/>
      <c r="AA213" s="160">
        <f t="shared" si="147"/>
        <v>1800000</v>
      </c>
      <c r="AB213" s="159"/>
      <c r="AC213" s="158">
        <f t="shared" si="148"/>
        <v>0</v>
      </c>
      <c r="AD213" s="160"/>
      <c r="AE213" s="160"/>
      <c r="AF213" s="157"/>
      <c r="AG213" s="157"/>
      <c r="AH213" s="159"/>
      <c r="AI213" s="35">
        <f t="shared" si="149"/>
        <v>0</v>
      </c>
      <c r="AJ213" s="11">
        <f t="shared" si="150"/>
        <v>0</v>
      </c>
      <c r="AK213" s="11">
        <f t="shared" si="151"/>
        <v>0</v>
      </c>
      <c r="AL213" s="11">
        <f t="shared" si="152"/>
        <v>1800000</v>
      </c>
      <c r="AM213" s="76">
        <f t="shared" si="153"/>
        <v>0</v>
      </c>
      <c r="AN213" s="51">
        <f t="shared" si="154"/>
        <v>1800000</v>
      </c>
      <c r="AO213" s="36"/>
      <c r="AP213" s="9"/>
      <c r="AQ213" s="9"/>
      <c r="AR213" s="9"/>
      <c r="AS213" s="9"/>
      <c r="AT213" s="9"/>
      <c r="AU213" s="9"/>
      <c r="AV213" s="9">
        <f t="shared" si="155"/>
        <v>0</v>
      </c>
      <c r="AW213" s="10">
        <f t="shared" si="128"/>
        <v>0</v>
      </c>
      <c r="AY213" s="11">
        <f t="shared" si="131"/>
        <v>0</v>
      </c>
    </row>
    <row r="214" spans="5:55" ht="60" customHeight="1" x14ac:dyDescent="0.2">
      <c r="E214" s="151">
        <f t="shared" si="146"/>
        <v>40203</v>
      </c>
      <c r="F214" s="170" t="s">
        <v>316</v>
      </c>
      <c r="G214" s="177"/>
      <c r="H214" s="178"/>
      <c r="I214" s="179"/>
      <c r="J214" s="180"/>
      <c r="K214" s="179"/>
      <c r="L214" s="180"/>
      <c r="M214" s="179">
        <v>200000</v>
      </c>
      <c r="N214" s="180">
        <v>200000</v>
      </c>
      <c r="O214" s="179">
        <v>300000</v>
      </c>
      <c r="P214" s="180">
        <v>300000</v>
      </c>
      <c r="Q214" s="165">
        <f t="shared" si="156"/>
        <v>100000</v>
      </c>
      <c r="R214" s="166">
        <f t="shared" si="156"/>
        <v>100000</v>
      </c>
      <c r="S214" s="156">
        <v>41000</v>
      </c>
      <c r="T214" s="160"/>
      <c r="U214" s="164">
        <f>S214</f>
        <v>41000</v>
      </c>
      <c r="V214" s="161">
        <v>300000</v>
      </c>
      <c r="W214" s="158">
        <v>300000</v>
      </c>
      <c r="X214" s="160"/>
      <c r="Y214" s="160"/>
      <c r="Z214" s="160"/>
      <c r="AA214" s="160">
        <f t="shared" si="147"/>
        <v>300000</v>
      </c>
      <c r="AB214" s="159"/>
      <c r="AC214" s="158">
        <f t="shared" si="148"/>
        <v>0</v>
      </c>
      <c r="AD214" s="160"/>
      <c r="AE214" s="160"/>
      <c r="AF214" s="157"/>
      <c r="AG214" s="157"/>
      <c r="AH214" s="159"/>
      <c r="AI214" s="35">
        <f t="shared" si="149"/>
        <v>0</v>
      </c>
      <c r="AJ214" s="11">
        <f t="shared" si="150"/>
        <v>0</v>
      </c>
      <c r="AK214" s="11">
        <f t="shared" si="151"/>
        <v>0</v>
      </c>
      <c r="AL214" s="11">
        <f t="shared" si="152"/>
        <v>300000</v>
      </c>
      <c r="AM214" s="76">
        <f t="shared" si="153"/>
        <v>0</v>
      </c>
      <c r="AN214" s="51">
        <f t="shared" si="154"/>
        <v>300000</v>
      </c>
      <c r="AO214" s="36"/>
      <c r="AP214" s="9"/>
      <c r="AQ214" s="9"/>
      <c r="AR214" s="9"/>
      <c r="AS214" s="9"/>
      <c r="AT214" s="9"/>
      <c r="AU214" s="9"/>
      <c r="AV214" s="9">
        <f t="shared" si="155"/>
        <v>0</v>
      </c>
      <c r="AW214" s="10">
        <f t="shared" si="128"/>
        <v>0</v>
      </c>
      <c r="AY214" s="11">
        <f t="shared" si="131"/>
        <v>0</v>
      </c>
    </row>
    <row r="215" spans="5:55" ht="60" customHeight="1" x14ac:dyDescent="0.2">
      <c r="E215" s="151">
        <f t="shared" si="146"/>
        <v>40204</v>
      </c>
      <c r="F215" s="170" t="s">
        <v>448</v>
      </c>
      <c r="G215" s="177"/>
      <c r="H215" s="178"/>
      <c r="I215" s="179"/>
      <c r="J215" s="180"/>
      <c r="K215" s="179"/>
      <c r="L215" s="180"/>
      <c r="M215" s="179"/>
      <c r="N215" s="180"/>
      <c r="O215" s="179">
        <v>210000</v>
      </c>
      <c r="P215" s="180"/>
      <c r="Q215" s="165">
        <f t="shared" si="156"/>
        <v>210000</v>
      </c>
      <c r="R215" s="166">
        <f t="shared" si="156"/>
        <v>0</v>
      </c>
      <c r="S215" s="156"/>
      <c r="T215" s="160"/>
      <c r="U215" s="157"/>
      <c r="V215" s="161">
        <v>500000</v>
      </c>
      <c r="W215" s="158">
        <v>500000</v>
      </c>
      <c r="X215" s="160"/>
      <c r="Y215" s="160"/>
      <c r="Z215" s="160"/>
      <c r="AA215" s="160">
        <f t="shared" si="147"/>
        <v>500000</v>
      </c>
      <c r="AB215" s="159"/>
      <c r="AC215" s="158">
        <f t="shared" si="148"/>
        <v>0</v>
      </c>
      <c r="AD215" s="160"/>
      <c r="AE215" s="160"/>
      <c r="AF215" s="157"/>
      <c r="AG215" s="157"/>
      <c r="AH215" s="159"/>
      <c r="AI215" s="35">
        <f t="shared" si="149"/>
        <v>0</v>
      </c>
      <c r="AJ215" s="11">
        <f t="shared" si="150"/>
        <v>0</v>
      </c>
      <c r="AK215" s="11">
        <f t="shared" si="151"/>
        <v>0</v>
      </c>
      <c r="AL215" s="11">
        <f t="shared" si="152"/>
        <v>500000</v>
      </c>
      <c r="AM215" s="76">
        <f t="shared" si="153"/>
        <v>0</v>
      </c>
      <c r="AN215" s="51">
        <f t="shared" si="154"/>
        <v>500000</v>
      </c>
      <c r="AO215" s="36"/>
      <c r="AP215" s="9"/>
      <c r="AQ215" s="9"/>
      <c r="AR215" s="9"/>
      <c r="AS215" s="9"/>
      <c r="AT215" s="9"/>
      <c r="AU215" s="9"/>
      <c r="AV215" s="9">
        <f t="shared" si="155"/>
        <v>0</v>
      </c>
      <c r="AW215" s="10">
        <f t="shared" si="128"/>
        <v>0</v>
      </c>
      <c r="AY215" s="11">
        <f t="shared" si="131"/>
        <v>0</v>
      </c>
    </row>
    <row r="216" spans="5:55" ht="60" customHeight="1" x14ac:dyDescent="0.2">
      <c r="E216" s="151">
        <f t="shared" si="146"/>
        <v>40205</v>
      </c>
      <c r="F216" s="170" t="s">
        <v>297</v>
      </c>
      <c r="G216" s="156">
        <v>42000000</v>
      </c>
      <c r="H216" s="157">
        <f>G216</f>
        <v>42000000</v>
      </c>
      <c r="I216" s="158">
        <v>46100000</v>
      </c>
      <c r="J216" s="159">
        <f>I216</f>
        <v>46100000</v>
      </c>
      <c r="K216" s="158">
        <v>47900000</v>
      </c>
      <c r="L216" s="159">
        <f>48000000-130000+30000+217000</f>
        <v>48117000</v>
      </c>
      <c r="M216" s="158">
        <v>55000000</v>
      </c>
      <c r="N216" s="159">
        <v>55000000</v>
      </c>
      <c r="O216" s="158">
        <v>72000000</v>
      </c>
      <c r="P216" s="159">
        <v>72000000</v>
      </c>
      <c r="Q216" s="165">
        <f t="shared" si="156"/>
        <v>17000000</v>
      </c>
      <c r="R216" s="166">
        <f t="shared" si="156"/>
        <v>17000000</v>
      </c>
      <c r="S216" s="156">
        <v>4270000</v>
      </c>
      <c r="T216" s="160"/>
      <c r="U216" s="157">
        <f>S216</f>
        <v>4270000</v>
      </c>
      <c r="V216" s="161">
        <v>78920000</v>
      </c>
      <c r="W216" s="158">
        <v>75200000</v>
      </c>
      <c r="X216" s="160"/>
      <c r="Y216" s="160"/>
      <c r="Z216" s="160"/>
      <c r="AA216" s="160">
        <f t="shared" si="147"/>
        <v>75200000</v>
      </c>
      <c r="AB216" s="159"/>
      <c r="AC216" s="158">
        <f t="shared" si="148"/>
        <v>3720000</v>
      </c>
      <c r="AD216" s="160"/>
      <c r="AE216" s="160"/>
      <c r="AF216" s="157"/>
      <c r="AG216" s="157">
        <f>AC216</f>
        <v>3720000</v>
      </c>
      <c r="AH216" s="159"/>
      <c r="AI216" s="35">
        <f t="shared" si="149"/>
        <v>0</v>
      </c>
      <c r="AJ216" s="11">
        <f t="shared" si="150"/>
        <v>0</v>
      </c>
      <c r="AK216" s="11">
        <f t="shared" si="151"/>
        <v>0</v>
      </c>
      <c r="AL216" s="11">
        <f t="shared" si="152"/>
        <v>78920000</v>
      </c>
      <c r="AM216" s="76">
        <f t="shared" si="153"/>
        <v>0</v>
      </c>
      <c r="AN216" s="51">
        <f t="shared" si="154"/>
        <v>78920000</v>
      </c>
      <c r="AO216" s="36"/>
      <c r="AP216" s="9">
        <v>52900000</v>
      </c>
      <c r="AQ216" s="9"/>
      <c r="AR216" s="9"/>
      <c r="AS216" s="9"/>
      <c r="AT216" s="9">
        <f>AP216</f>
        <v>52900000</v>
      </c>
      <c r="AU216" s="9"/>
      <c r="AV216" s="9">
        <f t="shared" si="155"/>
        <v>52900000</v>
      </c>
      <c r="AW216" s="10">
        <f t="shared" si="128"/>
        <v>0</v>
      </c>
      <c r="AY216" s="11">
        <f t="shared" si="131"/>
        <v>0</v>
      </c>
    </row>
    <row r="217" spans="5:55" ht="60" customHeight="1" x14ac:dyDescent="0.2">
      <c r="E217" s="151">
        <f t="shared" si="146"/>
        <v>40206</v>
      </c>
      <c r="F217" s="170" t="s">
        <v>531</v>
      </c>
      <c r="G217" s="156"/>
      <c r="H217" s="157"/>
      <c r="I217" s="158"/>
      <c r="J217" s="159"/>
      <c r="K217" s="158"/>
      <c r="L217" s="159"/>
      <c r="M217" s="158">
        <v>100000</v>
      </c>
      <c r="N217" s="159">
        <v>100000</v>
      </c>
      <c r="O217" s="158">
        <v>100000</v>
      </c>
      <c r="P217" s="159">
        <v>100000</v>
      </c>
      <c r="Q217" s="165">
        <f t="shared" si="156"/>
        <v>0</v>
      </c>
      <c r="R217" s="166">
        <f t="shared" si="156"/>
        <v>0</v>
      </c>
      <c r="S217" s="156">
        <v>65000</v>
      </c>
      <c r="T217" s="160"/>
      <c r="U217" s="157">
        <f>S217</f>
        <v>65000</v>
      </c>
      <c r="V217" s="161">
        <v>400000</v>
      </c>
      <c r="W217" s="158">
        <v>100000</v>
      </c>
      <c r="X217" s="160"/>
      <c r="Y217" s="160"/>
      <c r="Z217" s="160"/>
      <c r="AA217" s="160">
        <f t="shared" si="147"/>
        <v>100000</v>
      </c>
      <c r="AB217" s="159"/>
      <c r="AC217" s="158">
        <f t="shared" si="148"/>
        <v>300000</v>
      </c>
      <c r="AD217" s="160"/>
      <c r="AE217" s="160"/>
      <c r="AF217" s="157"/>
      <c r="AG217" s="157">
        <f>AC217</f>
        <v>300000</v>
      </c>
      <c r="AH217" s="159"/>
      <c r="AI217" s="35">
        <f t="shared" si="149"/>
        <v>0</v>
      </c>
      <c r="AJ217" s="11">
        <f t="shared" si="150"/>
        <v>0</v>
      </c>
      <c r="AK217" s="11">
        <f t="shared" si="151"/>
        <v>0</v>
      </c>
      <c r="AL217" s="11">
        <f t="shared" si="152"/>
        <v>400000</v>
      </c>
      <c r="AM217" s="76">
        <f t="shared" si="153"/>
        <v>0</v>
      </c>
      <c r="AN217" s="51">
        <f t="shared" si="154"/>
        <v>400000</v>
      </c>
      <c r="AO217" s="36"/>
      <c r="AP217" s="9"/>
      <c r="AQ217" s="9"/>
      <c r="AR217" s="9"/>
      <c r="AS217" s="9"/>
      <c r="AT217" s="9"/>
      <c r="AU217" s="9"/>
      <c r="AV217" s="9">
        <f t="shared" si="155"/>
        <v>0</v>
      </c>
      <c r="AW217" s="10"/>
      <c r="AY217" s="11">
        <f t="shared" si="131"/>
        <v>0</v>
      </c>
    </row>
    <row r="218" spans="5:55" ht="60" customHeight="1" x14ac:dyDescent="0.2">
      <c r="E218" s="151">
        <f t="shared" si="146"/>
        <v>40207</v>
      </c>
      <c r="F218" s="170" t="s">
        <v>315</v>
      </c>
      <c r="G218" s="173">
        <v>40000</v>
      </c>
      <c r="H218" s="174">
        <v>40000</v>
      </c>
      <c r="I218" s="175">
        <v>30000</v>
      </c>
      <c r="J218" s="176">
        <f>I218</f>
        <v>30000</v>
      </c>
      <c r="K218" s="175">
        <v>30000</v>
      </c>
      <c r="L218" s="176">
        <v>15000</v>
      </c>
      <c r="M218" s="175">
        <v>30000</v>
      </c>
      <c r="N218" s="176">
        <v>30000</v>
      </c>
      <c r="O218" s="175">
        <v>30000</v>
      </c>
      <c r="P218" s="176"/>
      <c r="Q218" s="165">
        <f t="shared" si="156"/>
        <v>0</v>
      </c>
      <c r="R218" s="166">
        <f t="shared" si="156"/>
        <v>-30000</v>
      </c>
      <c r="S218" s="156">
        <v>43000</v>
      </c>
      <c r="T218" s="160"/>
      <c r="U218" s="164">
        <f>S218</f>
        <v>43000</v>
      </c>
      <c r="V218" s="161">
        <v>30000</v>
      </c>
      <c r="W218" s="158">
        <v>30000</v>
      </c>
      <c r="X218" s="160"/>
      <c r="Y218" s="160"/>
      <c r="Z218" s="160"/>
      <c r="AA218" s="160">
        <f t="shared" si="147"/>
        <v>30000</v>
      </c>
      <c r="AB218" s="159"/>
      <c r="AC218" s="158">
        <f t="shared" si="148"/>
        <v>0</v>
      </c>
      <c r="AD218" s="160"/>
      <c r="AE218" s="160"/>
      <c r="AF218" s="157"/>
      <c r="AG218" s="157"/>
      <c r="AH218" s="159"/>
      <c r="AI218" s="35">
        <f t="shared" si="149"/>
        <v>0</v>
      </c>
      <c r="AJ218" s="11">
        <f t="shared" si="150"/>
        <v>0</v>
      </c>
      <c r="AK218" s="11">
        <f t="shared" si="151"/>
        <v>0</v>
      </c>
      <c r="AL218" s="11">
        <f t="shared" si="152"/>
        <v>30000</v>
      </c>
      <c r="AM218" s="76">
        <f t="shared" si="153"/>
        <v>0</v>
      </c>
      <c r="AN218" s="51">
        <f t="shared" si="154"/>
        <v>30000</v>
      </c>
      <c r="AO218" s="36"/>
      <c r="AP218" s="9"/>
      <c r="AQ218" s="9"/>
      <c r="AR218" s="9"/>
      <c r="AS218" s="9"/>
      <c r="AT218" s="9"/>
      <c r="AU218" s="9"/>
      <c r="AV218" s="9">
        <f t="shared" si="155"/>
        <v>0</v>
      </c>
      <c r="AW218" s="10">
        <f t="shared" si="128"/>
        <v>0</v>
      </c>
      <c r="AY218" s="11">
        <f t="shared" si="131"/>
        <v>0</v>
      </c>
    </row>
    <row r="219" spans="5:55" ht="60" customHeight="1" x14ac:dyDescent="0.2">
      <c r="E219" s="151">
        <f t="shared" si="146"/>
        <v>40208</v>
      </c>
      <c r="F219" s="170" t="s">
        <v>112</v>
      </c>
      <c r="G219" s="177">
        <v>400000</v>
      </c>
      <c r="H219" s="178">
        <f>G219</f>
        <v>400000</v>
      </c>
      <c r="I219" s="179">
        <v>350000</v>
      </c>
      <c r="J219" s="180">
        <f>I219</f>
        <v>350000</v>
      </c>
      <c r="K219" s="179">
        <v>350000</v>
      </c>
      <c r="L219" s="180">
        <v>350000</v>
      </c>
      <c r="M219" s="179">
        <v>350000</v>
      </c>
      <c r="N219" s="180">
        <v>350000</v>
      </c>
      <c r="O219" s="179">
        <v>350000</v>
      </c>
      <c r="P219" s="180">
        <v>262000</v>
      </c>
      <c r="Q219" s="165">
        <f t="shared" si="156"/>
        <v>0</v>
      </c>
      <c r="R219" s="166">
        <f t="shared" si="156"/>
        <v>-88000</v>
      </c>
      <c r="S219" s="156">
        <v>18000</v>
      </c>
      <c r="T219" s="160"/>
      <c r="U219" s="157">
        <f>S219</f>
        <v>18000</v>
      </c>
      <c r="V219" s="161">
        <v>350000</v>
      </c>
      <c r="W219" s="158">
        <v>200000</v>
      </c>
      <c r="X219" s="160"/>
      <c r="Y219" s="160"/>
      <c r="Z219" s="160"/>
      <c r="AA219" s="160">
        <f t="shared" si="147"/>
        <v>200000</v>
      </c>
      <c r="AB219" s="159"/>
      <c r="AC219" s="158">
        <f t="shared" si="148"/>
        <v>150000</v>
      </c>
      <c r="AD219" s="160"/>
      <c r="AE219" s="160"/>
      <c r="AF219" s="157"/>
      <c r="AG219" s="157">
        <f>AC219</f>
        <v>150000</v>
      </c>
      <c r="AH219" s="159"/>
      <c r="AI219" s="35">
        <f t="shared" si="149"/>
        <v>0</v>
      </c>
      <c r="AJ219" s="11">
        <f t="shared" si="150"/>
        <v>0</v>
      </c>
      <c r="AK219" s="11">
        <f t="shared" si="151"/>
        <v>0</v>
      </c>
      <c r="AL219" s="11">
        <f t="shared" si="152"/>
        <v>350000</v>
      </c>
      <c r="AM219" s="76">
        <f t="shared" si="153"/>
        <v>0</v>
      </c>
      <c r="AN219" s="51">
        <f t="shared" si="154"/>
        <v>350000</v>
      </c>
      <c r="AO219" s="36"/>
      <c r="AP219" s="16"/>
      <c r="AQ219" s="16"/>
      <c r="AR219" s="16"/>
      <c r="AS219" s="16"/>
      <c r="AT219" s="9"/>
      <c r="AU219" s="16"/>
      <c r="AV219" s="9">
        <f t="shared" si="155"/>
        <v>0</v>
      </c>
      <c r="AW219" s="10">
        <f t="shared" si="128"/>
        <v>0</v>
      </c>
      <c r="AY219" s="11">
        <f t="shared" si="131"/>
        <v>0</v>
      </c>
    </row>
    <row r="220" spans="5:55" ht="60" customHeight="1" x14ac:dyDescent="0.2">
      <c r="E220" s="151">
        <f t="shared" si="146"/>
        <v>40209</v>
      </c>
      <c r="F220" s="170" t="s">
        <v>314</v>
      </c>
      <c r="G220" s="177">
        <v>600000</v>
      </c>
      <c r="H220" s="178">
        <f>G220</f>
        <v>600000</v>
      </c>
      <c r="I220" s="179">
        <v>600000</v>
      </c>
      <c r="J220" s="180">
        <v>600000</v>
      </c>
      <c r="K220" s="179">
        <v>600000</v>
      </c>
      <c r="L220" s="180">
        <v>600000</v>
      </c>
      <c r="M220" s="179">
        <v>370000</v>
      </c>
      <c r="N220" s="180">
        <v>370000</v>
      </c>
      <c r="O220" s="179">
        <v>450000</v>
      </c>
      <c r="P220" s="180">
        <v>90000</v>
      </c>
      <c r="Q220" s="165">
        <f t="shared" si="156"/>
        <v>80000</v>
      </c>
      <c r="R220" s="166">
        <f t="shared" si="156"/>
        <v>-280000</v>
      </c>
      <c r="S220" s="156">
        <v>292000</v>
      </c>
      <c r="T220" s="160"/>
      <c r="U220" s="164">
        <f t="shared" ref="U220:U225" si="157">S220</f>
        <v>292000</v>
      </c>
      <c r="V220" s="161">
        <v>350000</v>
      </c>
      <c r="W220" s="158">
        <v>250000</v>
      </c>
      <c r="X220" s="160"/>
      <c r="Y220" s="160"/>
      <c r="Z220" s="160"/>
      <c r="AA220" s="160">
        <f t="shared" si="147"/>
        <v>250000</v>
      </c>
      <c r="AB220" s="159"/>
      <c r="AC220" s="158">
        <f t="shared" si="148"/>
        <v>100000</v>
      </c>
      <c r="AD220" s="160"/>
      <c r="AE220" s="160"/>
      <c r="AF220" s="157"/>
      <c r="AG220" s="157">
        <f>AC220</f>
        <v>100000</v>
      </c>
      <c r="AH220" s="159"/>
      <c r="AI220" s="35">
        <f t="shared" si="149"/>
        <v>0</v>
      </c>
      <c r="AJ220" s="11">
        <f t="shared" si="150"/>
        <v>0</v>
      </c>
      <c r="AK220" s="11">
        <f t="shared" si="151"/>
        <v>0</v>
      </c>
      <c r="AL220" s="11">
        <f t="shared" si="152"/>
        <v>350000</v>
      </c>
      <c r="AM220" s="76">
        <f t="shared" si="153"/>
        <v>0</v>
      </c>
      <c r="AN220" s="51">
        <f t="shared" si="154"/>
        <v>350000</v>
      </c>
      <c r="AO220" s="36"/>
      <c r="AP220" s="16"/>
      <c r="AQ220" s="16"/>
      <c r="AR220" s="16"/>
      <c r="AS220" s="16"/>
      <c r="AT220" s="9"/>
      <c r="AU220" s="16"/>
      <c r="AV220" s="9">
        <f t="shared" si="155"/>
        <v>0</v>
      </c>
      <c r="AW220" s="10">
        <f t="shared" si="128"/>
        <v>0</v>
      </c>
      <c r="AY220" s="11">
        <f t="shared" si="131"/>
        <v>0</v>
      </c>
    </row>
    <row r="221" spans="5:55" ht="60" customHeight="1" x14ac:dyDescent="0.2">
      <c r="E221" s="151">
        <f t="shared" si="146"/>
        <v>40210</v>
      </c>
      <c r="F221" s="170" t="s">
        <v>343</v>
      </c>
      <c r="G221" s="177"/>
      <c r="H221" s="178"/>
      <c r="I221" s="179"/>
      <c r="J221" s="180"/>
      <c r="K221" s="179"/>
      <c r="L221" s="180"/>
      <c r="M221" s="179"/>
      <c r="N221" s="180"/>
      <c r="O221" s="179">
        <v>300000</v>
      </c>
      <c r="P221" s="180">
        <v>300000</v>
      </c>
      <c r="Q221" s="165">
        <f t="shared" si="156"/>
        <v>300000</v>
      </c>
      <c r="R221" s="166">
        <f t="shared" si="156"/>
        <v>300000</v>
      </c>
      <c r="S221" s="156">
        <v>249000</v>
      </c>
      <c r="T221" s="160"/>
      <c r="U221" s="164">
        <f t="shared" si="157"/>
        <v>249000</v>
      </c>
      <c r="V221" s="161">
        <v>300000</v>
      </c>
      <c r="W221" s="158">
        <v>300000</v>
      </c>
      <c r="X221" s="160"/>
      <c r="Y221" s="160"/>
      <c r="Z221" s="160"/>
      <c r="AA221" s="160">
        <f t="shared" si="147"/>
        <v>300000</v>
      </c>
      <c r="AB221" s="159"/>
      <c r="AC221" s="158">
        <f t="shared" si="148"/>
        <v>0</v>
      </c>
      <c r="AD221" s="160"/>
      <c r="AE221" s="160"/>
      <c r="AF221" s="157"/>
      <c r="AG221" s="157"/>
      <c r="AH221" s="159"/>
      <c r="AI221" s="35">
        <f t="shared" si="149"/>
        <v>0</v>
      </c>
      <c r="AJ221" s="11">
        <f t="shared" si="150"/>
        <v>0</v>
      </c>
      <c r="AK221" s="11">
        <f t="shared" si="151"/>
        <v>0</v>
      </c>
      <c r="AL221" s="11">
        <f t="shared" si="152"/>
        <v>300000</v>
      </c>
      <c r="AM221" s="76">
        <f t="shared" si="153"/>
        <v>0</v>
      </c>
      <c r="AN221" s="51">
        <f t="shared" si="154"/>
        <v>300000</v>
      </c>
      <c r="AO221" s="36"/>
      <c r="AP221" s="16"/>
      <c r="AQ221" s="16"/>
      <c r="AR221" s="16"/>
      <c r="AS221" s="16"/>
      <c r="AT221" s="9"/>
      <c r="AU221" s="16"/>
      <c r="AV221" s="9"/>
      <c r="AW221" s="10"/>
      <c r="AY221" s="11">
        <f t="shared" si="131"/>
        <v>0</v>
      </c>
    </row>
    <row r="222" spans="5:55" ht="60" customHeight="1" x14ac:dyDescent="0.2">
      <c r="E222" s="151">
        <f t="shared" si="146"/>
        <v>40211</v>
      </c>
      <c r="F222" s="170" t="s">
        <v>113</v>
      </c>
      <c r="G222" s="177">
        <v>100000</v>
      </c>
      <c r="H222" s="178">
        <f>G222</f>
        <v>100000</v>
      </c>
      <c r="I222" s="179">
        <v>100000</v>
      </c>
      <c r="J222" s="180">
        <f>I222</f>
        <v>100000</v>
      </c>
      <c r="K222" s="179">
        <v>100000</v>
      </c>
      <c r="L222" s="180">
        <v>50000</v>
      </c>
      <c r="M222" s="179">
        <v>100000</v>
      </c>
      <c r="N222" s="180">
        <v>100000</v>
      </c>
      <c r="O222" s="179">
        <v>100000</v>
      </c>
      <c r="P222" s="180">
        <v>75000</v>
      </c>
      <c r="Q222" s="165">
        <f t="shared" si="156"/>
        <v>0</v>
      </c>
      <c r="R222" s="166">
        <f t="shared" si="156"/>
        <v>-25000</v>
      </c>
      <c r="S222" s="156">
        <v>46000</v>
      </c>
      <c r="T222" s="160"/>
      <c r="U222" s="157">
        <f t="shared" si="157"/>
        <v>46000</v>
      </c>
      <c r="V222" s="161">
        <v>100000</v>
      </c>
      <c r="W222" s="158">
        <v>100000</v>
      </c>
      <c r="X222" s="160"/>
      <c r="Y222" s="160"/>
      <c r="Z222" s="160"/>
      <c r="AA222" s="160">
        <f t="shared" si="147"/>
        <v>100000</v>
      </c>
      <c r="AB222" s="159"/>
      <c r="AC222" s="158">
        <f t="shared" si="148"/>
        <v>0</v>
      </c>
      <c r="AD222" s="160"/>
      <c r="AE222" s="160"/>
      <c r="AF222" s="157"/>
      <c r="AG222" s="157"/>
      <c r="AH222" s="159"/>
      <c r="AI222" s="35">
        <f t="shared" si="149"/>
        <v>0</v>
      </c>
      <c r="AJ222" s="11">
        <f t="shared" si="150"/>
        <v>0</v>
      </c>
      <c r="AK222" s="11">
        <f t="shared" si="151"/>
        <v>0</v>
      </c>
      <c r="AL222" s="11">
        <f t="shared" si="152"/>
        <v>100000</v>
      </c>
      <c r="AM222" s="76">
        <f t="shared" si="153"/>
        <v>0</v>
      </c>
      <c r="AN222" s="51">
        <f t="shared" si="154"/>
        <v>100000</v>
      </c>
      <c r="AO222" s="36"/>
      <c r="AP222" s="16"/>
      <c r="AQ222" s="16"/>
      <c r="AR222" s="16"/>
      <c r="AS222" s="16"/>
      <c r="AT222" s="9"/>
      <c r="AU222" s="16"/>
      <c r="AV222" s="9">
        <f t="shared" si="155"/>
        <v>0</v>
      </c>
      <c r="AW222" s="10">
        <f t="shared" si="128"/>
        <v>0</v>
      </c>
      <c r="AY222" s="11">
        <f t="shared" si="131"/>
        <v>0</v>
      </c>
    </row>
    <row r="223" spans="5:55" ht="60" customHeight="1" x14ac:dyDescent="0.2">
      <c r="E223" s="151">
        <f t="shared" si="146"/>
        <v>40212</v>
      </c>
      <c r="F223" s="170" t="s">
        <v>449</v>
      </c>
      <c r="G223" s="177"/>
      <c r="H223" s="178"/>
      <c r="I223" s="179"/>
      <c r="J223" s="180"/>
      <c r="K223" s="179"/>
      <c r="L223" s="180"/>
      <c r="M223" s="179"/>
      <c r="N223" s="180"/>
      <c r="O223" s="179"/>
      <c r="P223" s="180"/>
      <c r="Q223" s="165"/>
      <c r="R223" s="166"/>
      <c r="S223" s="156"/>
      <c r="T223" s="160"/>
      <c r="U223" s="157">
        <f t="shared" si="157"/>
        <v>0</v>
      </c>
      <c r="V223" s="161">
        <v>174000</v>
      </c>
      <c r="W223" s="158">
        <v>0</v>
      </c>
      <c r="X223" s="160"/>
      <c r="Y223" s="160">
        <f>W223</f>
        <v>0</v>
      </c>
      <c r="Z223" s="160"/>
      <c r="AA223" s="160"/>
      <c r="AB223" s="159"/>
      <c r="AC223" s="158">
        <f t="shared" si="148"/>
        <v>174000</v>
      </c>
      <c r="AD223" s="160"/>
      <c r="AE223" s="160"/>
      <c r="AF223" s="157"/>
      <c r="AG223" s="157">
        <f>AC223</f>
        <v>174000</v>
      </c>
      <c r="AH223" s="159"/>
      <c r="AI223" s="35">
        <f t="shared" si="149"/>
        <v>0</v>
      </c>
      <c r="AJ223" s="11">
        <f t="shared" si="150"/>
        <v>0</v>
      </c>
      <c r="AK223" s="11">
        <f t="shared" si="151"/>
        <v>0</v>
      </c>
      <c r="AL223" s="11">
        <f t="shared" si="152"/>
        <v>174000</v>
      </c>
      <c r="AM223" s="76">
        <f t="shared" si="153"/>
        <v>0</v>
      </c>
      <c r="AN223" s="51">
        <f t="shared" si="154"/>
        <v>174000</v>
      </c>
      <c r="AO223" s="36"/>
      <c r="AP223" s="16"/>
      <c r="AQ223" s="16"/>
      <c r="AR223" s="16"/>
      <c r="AS223" s="16"/>
      <c r="AT223" s="9"/>
      <c r="AU223" s="16"/>
      <c r="AV223" s="9"/>
      <c r="AW223" s="10"/>
      <c r="AY223" s="11">
        <f t="shared" si="131"/>
        <v>0</v>
      </c>
    </row>
    <row r="224" spans="5:55" ht="60" customHeight="1" x14ac:dyDescent="0.2">
      <c r="E224" s="151">
        <f t="shared" si="146"/>
        <v>40213</v>
      </c>
      <c r="F224" s="170" t="s">
        <v>114</v>
      </c>
      <c r="G224" s="173">
        <v>50000</v>
      </c>
      <c r="H224" s="174">
        <v>50000</v>
      </c>
      <c r="I224" s="175">
        <v>50000</v>
      </c>
      <c r="J224" s="176">
        <f>I224</f>
        <v>50000</v>
      </c>
      <c r="K224" s="175">
        <v>50000</v>
      </c>
      <c r="L224" s="176">
        <v>50000</v>
      </c>
      <c r="M224" s="175">
        <v>50000</v>
      </c>
      <c r="N224" s="176">
        <v>50000</v>
      </c>
      <c r="O224" s="175">
        <v>200000</v>
      </c>
      <c r="P224" s="176">
        <v>150000</v>
      </c>
      <c r="Q224" s="165">
        <f t="shared" si="156"/>
        <v>150000</v>
      </c>
      <c r="R224" s="166">
        <f t="shared" si="156"/>
        <v>100000</v>
      </c>
      <c r="S224" s="156">
        <v>37000</v>
      </c>
      <c r="T224" s="160"/>
      <c r="U224" s="157">
        <f t="shared" si="157"/>
        <v>37000</v>
      </c>
      <c r="V224" s="161">
        <v>200000</v>
      </c>
      <c r="W224" s="158">
        <v>150000</v>
      </c>
      <c r="X224" s="160"/>
      <c r="Y224" s="160"/>
      <c r="Z224" s="160"/>
      <c r="AA224" s="160">
        <f>W224</f>
        <v>150000</v>
      </c>
      <c r="AB224" s="159"/>
      <c r="AC224" s="158">
        <f t="shared" si="148"/>
        <v>50000</v>
      </c>
      <c r="AD224" s="160"/>
      <c r="AE224" s="160"/>
      <c r="AF224" s="157"/>
      <c r="AG224" s="157">
        <f>AC224</f>
        <v>50000</v>
      </c>
      <c r="AH224" s="159"/>
      <c r="AI224" s="35">
        <f t="shared" si="149"/>
        <v>0</v>
      </c>
      <c r="AJ224" s="11">
        <f t="shared" si="150"/>
        <v>0</v>
      </c>
      <c r="AK224" s="11">
        <f t="shared" si="151"/>
        <v>0</v>
      </c>
      <c r="AL224" s="11">
        <f t="shared" si="152"/>
        <v>200000</v>
      </c>
      <c r="AM224" s="76">
        <f t="shared" si="153"/>
        <v>0</v>
      </c>
      <c r="AN224" s="51">
        <f t="shared" si="154"/>
        <v>200000</v>
      </c>
      <c r="AO224" s="36"/>
      <c r="AP224" s="9"/>
      <c r="AQ224" s="9"/>
      <c r="AR224" s="9"/>
      <c r="AS224" s="9"/>
      <c r="AT224" s="9"/>
      <c r="AU224" s="9"/>
      <c r="AV224" s="9">
        <f t="shared" si="155"/>
        <v>0</v>
      </c>
      <c r="AW224" s="10">
        <f t="shared" si="128"/>
        <v>0</v>
      </c>
      <c r="AY224" s="11">
        <f t="shared" si="131"/>
        <v>0</v>
      </c>
    </row>
    <row r="225" spans="5:51" ht="60" customHeight="1" x14ac:dyDescent="0.2">
      <c r="E225" s="151">
        <f t="shared" si="146"/>
        <v>40214</v>
      </c>
      <c r="F225" s="170" t="s">
        <v>115</v>
      </c>
      <c r="G225" s="177">
        <v>50000</v>
      </c>
      <c r="H225" s="178">
        <f>G225</f>
        <v>50000</v>
      </c>
      <c r="I225" s="179">
        <v>50000</v>
      </c>
      <c r="J225" s="180">
        <f>I225</f>
        <v>50000</v>
      </c>
      <c r="K225" s="179">
        <f>50000+130000</f>
        <v>180000</v>
      </c>
      <c r="L225" s="180">
        <v>180000</v>
      </c>
      <c r="M225" s="179">
        <v>180000</v>
      </c>
      <c r="N225" s="180">
        <v>180000</v>
      </c>
      <c r="O225" s="179">
        <v>200000</v>
      </c>
      <c r="P225" s="180">
        <v>200000</v>
      </c>
      <c r="Q225" s="165">
        <f t="shared" si="156"/>
        <v>20000</v>
      </c>
      <c r="R225" s="166">
        <f t="shared" si="156"/>
        <v>20000</v>
      </c>
      <c r="S225" s="156">
        <v>15000</v>
      </c>
      <c r="T225" s="160"/>
      <c r="U225" s="157">
        <f t="shared" si="157"/>
        <v>15000</v>
      </c>
      <c r="V225" s="161">
        <v>200000</v>
      </c>
      <c r="W225" s="158">
        <v>200000</v>
      </c>
      <c r="X225" s="160"/>
      <c r="Y225" s="160"/>
      <c r="Z225" s="160"/>
      <c r="AA225" s="160">
        <f>W225</f>
        <v>200000</v>
      </c>
      <c r="AB225" s="159"/>
      <c r="AC225" s="158">
        <f t="shared" si="148"/>
        <v>0</v>
      </c>
      <c r="AD225" s="160"/>
      <c r="AE225" s="160"/>
      <c r="AF225" s="157"/>
      <c r="AG225" s="157"/>
      <c r="AH225" s="159"/>
      <c r="AI225" s="35">
        <f t="shared" si="149"/>
        <v>0</v>
      </c>
      <c r="AJ225" s="11">
        <f t="shared" si="150"/>
        <v>0</v>
      </c>
      <c r="AK225" s="11">
        <f t="shared" si="151"/>
        <v>0</v>
      </c>
      <c r="AL225" s="11">
        <f t="shared" si="152"/>
        <v>200000</v>
      </c>
      <c r="AM225" s="76">
        <f t="shared" si="153"/>
        <v>0</v>
      </c>
      <c r="AN225" s="51">
        <f t="shared" si="154"/>
        <v>200000</v>
      </c>
      <c r="AO225" s="36"/>
      <c r="AP225" s="9"/>
      <c r="AQ225" s="9"/>
      <c r="AR225" s="9"/>
      <c r="AS225" s="9"/>
      <c r="AT225" s="9"/>
      <c r="AU225" s="9"/>
      <c r="AV225" s="9">
        <f t="shared" si="155"/>
        <v>0</v>
      </c>
      <c r="AW225" s="10">
        <f t="shared" si="128"/>
        <v>0</v>
      </c>
      <c r="AY225" s="11">
        <f t="shared" si="131"/>
        <v>0</v>
      </c>
    </row>
    <row r="226" spans="5:51" ht="60" customHeight="1" x14ac:dyDescent="0.2">
      <c r="E226" s="151">
        <f t="shared" si="146"/>
        <v>40215</v>
      </c>
      <c r="F226" s="170" t="s">
        <v>116</v>
      </c>
      <c r="G226" s="177">
        <v>650000</v>
      </c>
      <c r="H226" s="178">
        <f>G226</f>
        <v>650000</v>
      </c>
      <c r="I226" s="179">
        <v>650000</v>
      </c>
      <c r="J226" s="180">
        <f>I226</f>
        <v>650000</v>
      </c>
      <c r="K226" s="179">
        <v>765000</v>
      </c>
      <c r="L226" s="180">
        <v>765000</v>
      </c>
      <c r="M226" s="179">
        <v>865000</v>
      </c>
      <c r="N226" s="180">
        <v>865000</v>
      </c>
      <c r="O226" s="179">
        <v>1750000</v>
      </c>
      <c r="P226" s="180">
        <v>1550000</v>
      </c>
      <c r="Q226" s="165">
        <f t="shared" si="156"/>
        <v>885000</v>
      </c>
      <c r="R226" s="166">
        <f t="shared" si="156"/>
        <v>685000</v>
      </c>
      <c r="S226" s="156">
        <v>5000</v>
      </c>
      <c r="T226" s="160"/>
      <c r="U226" s="164">
        <f>S226</f>
        <v>5000</v>
      </c>
      <c r="V226" s="161">
        <v>1150000</v>
      </c>
      <c r="W226" s="158">
        <v>1150000</v>
      </c>
      <c r="X226" s="160"/>
      <c r="Y226" s="160"/>
      <c r="Z226" s="160"/>
      <c r="AA226" s="160">
        <f>W226</f>
        <v>1150000</v>
      </c>
      <c r="AB226" s="159"/>
      <c r="AC226" s="158">
        <f t="shared" si="148"/>
        <v>0</v>
      </c>
      <c r="AD226" s="160"/>
      <c r="AE226" s="160"/>
      <c r="AF226" s="157"/>
      <c r="AG226" s="157"/>
      <c r="AH226" s="159"/>
      <c r="AI226" s="35">
        <f t="shared" si="149"/>
        <v>0</v>
      </c>
      <c r="AJ226" s="11">
        <f t="shared" si="150"/>
        <v>0</v>
      </c>
      <c r="AK226" s="11">
        <f t="shared" si="151"/>
        <v>0</v>
      </c>
      <c r="AL226" s="11">
        <f t="shared" si="152"/>
        <v>1150000</v>
      </c>
      <c r="AM226" s="76">
        <f t="shared" si="153"/>
        <v>0</v>
      </c>
      <c r="AN226" s="51">
        <f t="shared" si="154"/>
        <v>1150000</v>
      </c>
      <c r="AO226" s="36"/>
      <c r="AP226" s="9"/>
      <c r="AQ226" s="9"/>
      <c r="AR226" s="9"/>
      <c r="AS226" s="9"/>
      <c r="AT226" s="9"/>
      <c r="AU226" s="9"/>
      <c r="AV226" s="9">
        <f t="shared" si="155"/>
        <v>0</v>
      </c>
      <c r="AW226" s="10">
        <f t="shared" si="128"/>
        <v>0</v>
      </c>
      <c r="AY226" s="11">
        <f t="shared" si="131"/>
        <v>0</v>
      </c>
    </row>
    <row r="227" spans="5:51" ht="60" customHeight="1" x14ac:dyDescent="0.2">
      <c r="E227" s="151">
        <f t="shared" si="146"/>
        <v>40216</v>
      </c>
      <c r="F227" s="170" t="s">
        <v>450</v>
      </c>
      <c r="G227" s="177"/>
      <c r="H227" s="178"/>
      <c r="I227" s="179"/>
      <c r="J227" s="180"/>
      <c r="K227" s="179"/>
      <c r="L227" s="180"/>
      <c r="M227" s="179"/>
      <c r="N227" s="180"/>
      <c r="O227" s="179"/>
      <c r="P227" s="180"/>
      <c r="Q227" s="165"/>
      <c r="R227" s="166"/>
      <c r="S227" s="156"/>
      <c r="T227" s="160"/>
      <c r="U227" s="164"/>
      <c r="V227" s="161">
        <v>64000</v>
      </c>
      <c r="W227" s="158">
        <v>0</v>
      </c>
      <c r="X227" s="160"/>
      <c r="Y227" s="160">
        <f>W227</f>
        <v>0</v>
      </c>
      <c r="Z227" s="160"/>
      <c r="AA227" s="160"/>
      <c r="AB227" s="159"/>
      <c r="AC227" s="158">
        <f t="shared" si="148"/>
        <v>64000</v>
      </c>
      <c r="AD227" s="160"/>
      <c r="AE227" s="160"/>
      <c r="AF227" s="157"/>
      <c r="AG227" s="157">
        <f>AC227</f>
        <v>64000</v>
      </c>
      <c r="AH227" s="159"/>
      <c r="AI227" s="35">
        <f t="shared" si="149"/>
        <v>0</v>
      </c>
      <c r="AJ227" s="11">
        <f t="shared" si="150"/>
        <v>0</v>
      </c>
      <c r="AK227" s="11">
        <f t="shared" si="151"/>
        <v>0</v>
      </c>
      <c r="AL227" s="11">
        <f t="shared" si="152"/>
        <v>64000</v>
      </c>
      <c r="AM227" s="76">
        <f t="shared" si="153"/>
        <v>0</v>
      </c>
      <c r="AN227" s="51">
        <f t="shared" si="154"/>
        <v>64000</v>
      </c>
      <c r="AO227" s="36"/>
      <c r="AP227" s="9"/>
      <c r="AQ227" s="9"/>
      <c r="AR227" s="9"/>
      <c r="AS227" s="9"/>
      <c r="AT227" s="9"/>
      <c r="AU227" s="9"/>
      <c r="AV227" s="9"/>
      <c r="AW227" s="10"/>
      <c r="AY227" s="11">
        <f t="shared" si="131"/>
        <v>0</v>
      </c>
    </row>
    <row r="228" spans="5:51" ht="60" customHeight="1" x14ac:dyDescent="0.2">
      <c r="E228" s="151">
        <f t="shared" si="146"/>
        <v>40217</v>
      </c>
      <c r="F228" s="170" t="s">
        <v>451</v>
      </c>
      <c r="G228" s="177"/>
      <c r="H228" s="178"/>
      <c r="I228" s="179"/>
      <c r="J228" s="180"/>
      <c r="K228" s="179"/>
      <c r="L228" s="180"/>
      <c r="M228" s="179"/>
      <c r="N228" s="180"/>
      <c r="O228" s="179">
        <v>3000000</v>
      </c>
      <c r="P228" s="180">
        <v>425000</v>
      </c>
      <c r="Q228" s="165">
        <f t="shared" si="156"/>
        <v>3000000</v>
      </c>
      <c r="R228" s="166">
        <f t="shared" si="156"/>
        <v>425000</v>
      </c>
      <c r="S228" s="156">
        <v>100000</v>
      </c>
      <c r="T228" s="160"/>
      <c r="U228" s="164">
        <f t="shared" ref="U228:U236" si="158">S228</f>
        <v>100000</v>
      </c>
      <c r="V228" s="161">
        <v>3000000</v>
      </c>
      <c r="W228" s="158">
        <v>0</v>
      </c>
      <c r="X228" s="160"/>
      <c r="Y228" s="160">
        <f>W228</f>
        <v>0</v>
      </c>
      <c r="Z228" s="160"/>
      <c r="AA228" s="160"/>
      <c r="AB228" s="159"/>
      <c r="AC228" s="158">
        <f t="shared" si="148"/>
        <v>3000000</v>
      </c>
      <c r="AD228" s="160"/>
      <c r="AE228" s="160"/>
      <c r="AF228" s="157"/>
      <c r="AG228" s="157">
        <f>AC228</f>
        <v>3000000</v>
      </c>
      <c r="AH228" s="159"/>
      <c r="AI228" s="35">
        <f t="shared" si="149"/>
        <v>0</v>
      </c>
      <c r="AJ228" s="11">
        <f t="shared" si="150"/>
        <v>0</v>
      </c>
      <c r="AK228" s="11">
        <f t="shared" si="151"/>
        <v>0</v>
      </c>
      <c r="AL228" s="11">
        <f t="shared" si="152"/>
        <v>3000000</v>
      </c>
      <c r="AM228" s="76">
        <f t="shared" si="153"/>
        <v>0</v>
      </c>
      <c r="AN228" s="51">
        <f t="shared" si="154"/>
        <v>3000000</v>
      </c>
      <c r="AO228" s="36"/>
      <c r="AP228" s="9"/>
      <c r="AQ228" s="9"/>
      <c r="AR228" s="9"/>
      <c r="AS228" s="9"/>
      <c r="AT228" s="9"/>
      <c r="AU228" s="9"/>
      <c r="AV228" s="9"/>
      <c r="AW228" s="10"/>
      <c r="AY228" s="11">
        <f t="shared" si="131"/>
        <v>0</v>
      </c>
    </row>
    <row r="229" spans="5:51" ht="60" customHeight="1" x14ac:dyDescent="0.2">
      <c r="E229" s="151">
        <f t="shared" si="146"/>
        <v>40218</v>
      </c>
      <c r="F229" s="170" t="s">
        <v>117</v>
      </c>
      <c r="G229" s="177">
        <v>50000</v>
      </c>
      <c r="H229" s="178">
        <v>50000</v>
      </c>
      <c r="I229" s="179">
        <v>50000</v>
      </c>
      <c r="J229" s="180">
        <f>I229</f>
        <v>50000</v>
      </c>
      <c r="K229" s="179">
        <v>50000</v>
      </c>
      <c r="L229" s="180">
        <v>50000</v>
      </c>
      <c r="M229" s="179">
        <v>300000</v>
      </c>
      <c r="N229" s="180">
        <v>300000</v>
      </c>
      <c r="O229" s="179">
        <v>300000</v>
      </c>
      <c r="P229" s="180">
        <v>50000</v>
      </c>
      <c r="Q229" s="165">
        <f t="shared" si="156"/>
        <v>0</v>
      </c>
      <c r="R229" s="166">
        <f t="shared" si="156"/>
        <v>-250000</v>
      </c>
      <c r="S229" s="156">
        <v>37000</v>
      </c>
      <c r="T229" s="160"/>
      <c r="U229" s="164">
        <f t="shared" si="158"/>
        <v>37000</v>
      </c>
      <c r="V229" s="161">
        <v>300000</v>
      </c>
      <c r="W229" s="158">
        <v>200000</v>
      </c>
      <c r="X229" s="160"/>
      <c r="Y229" s="160"/>
      <c r="Z229" s="160"/>
      <c r="AA229" s="160">
        <f t="shared" ref="AA229:AA234" si="159">W229</f>
        <v>200000</v>
      </c>
      <c r="AB229" s="159"/>
      <c r="AC229" s="158">
        <f t="shared" si="148"/>
        <v>100000</v>
      </c>
      <c r="AD229" s="160"/>
      <c r="AE229" s="160"/>
      <c r="AF229" s="157"/>
      <c r="AG229" s="157">
        <f>AC229</f>
        <v>100000</v>
      </c>
      <c r="AH229" s="159"/>
      <c r="AI229" s="35">
        <f t="shared" si="149"/>
        <v>0</v>
      </c>
      <c r="AJ229" s="11">
        <f t="shared" si="150"/>
        <v>0</v>
      </c>
      <c r="AK229" s="11">
        <f t="shared" si="151"/>
        <v>0</v>
      </c>
      <c r="AL229" s="11">
        <f t="shared" si="152"/>
        <v>300000</v>
      </c>
      <c r="AM229" s="76">
        <f t="shared" si="153"/>
        <v>0</v>
      </c>
      <c r="AN229" s="51">
        <f t="shared" si="154"/>
        <v>300000</v>
      </c>
      <c r="AO229" s="36"/>
      <c r="AP229" s="9"/>
      <c r="AQ229" s="9"/>
      <c r="AR229" s="9"/>
      <c r="AS229" s="9"/>
      <c r="AT229" s="9"/>
      <c r="AU229" s="9"/>
      <c r="AV229" s="9">
        <f t="shared" si="155"/>
        <v>0</v>
      </c>
      <c r="AW229" s="10">
        <f t="shared" si="128"/>
        <v>0</v>
      </c>
      <c r="AY229" s="11">
        <f t="shared" si="131"/>
        <v>0</v>
      </c>
    </row>
    <row r="230" spans="5:51" ht="90" customHeight="1" x14ac:dyDescent="0.2">
      <c r="E230" s="151">
        <f t="shared" si="146"/>
        <v>40219</v>
      </c>
      <c r="F230" s="170" t="s">
        <v>263</v>
      </c>
      <c r="G230" s="177">
        <v>1300000</v>
      </c>
      <c r="H230" s="178">
        <f>G230</f>
        <v>1300000</v>
      </c>
      <c r="I230" s="179">
        <v>600000</v>
      </c>
      <c r="J230" s="180">
        <v>300000</v>
      </c>
      <c r="K230" s="179">
        <v>1010000</v>
      </c>
      <c r="L230" s="180">
        <v>1010000</v>
      </c>
      <c r="M230" s="179"/>
      <c r="N230" s="180"/>
      <c r="O230" s="179">
        <v>600000</v>
      </c>
      <c r="P230" s="180">
        <v>600000</v>
      </c>
      <c r="Q230" s="165">
        <f t="shared" si="156"/>
        <v>600000</v>
      </c>
      <c r="R230" s="166">
        <f t="shared" si="156"/>
        <v>600000</v>
      </c>
      <c r="S230" s="156">
        <v>1040000</v>
      </c>
      <c r="T230" s="160"/>
      <c r="U230" s="164">
        <f t="shared" si="158"/>
        <v>1040000</v>
      </c>
      <c r="V230" s="161">
        <v>600000</v>
      </c>
      <c r="W230" s="158">
        <v>600000</v>
      </c>
      <c r="X230" s="160"/>
      <c r="Y230" s="160"/>
      <c r="Z230" s="160"/>
      <c r="AA230" s="160">
        <f t="shared" si="159"/>
        <v>600000</v>
      </c>
      <c r="AB230" s="159"/>
      <c r="AC230" s="158">
        <f t="shared" si="148"/>
        <v>0</v>
      </c>
      <c r="AD230" s="160"/>
      <c r="AE230" s="160"/>
      <c r="AF230" s="157"/>
      <c r="AG230" s="157"/>
      <c r="AH230" s="159"/>
      <c r="AI230" s="35">
        <f t="shared" si="149"/>
        <v>0</v>
      </c>
      <c r="AJ230" s="11">
        <f t="shared" si="150"/>
        <v>0</v>
      </c>
      <c r="AK230" s="11">
        <f t="shared" si="151"/>
        <v>0</v>
      </c>
      <c r="AL230" s="11">
        <f t="shared" si="152"/>
        <v>600000</v>
      </c>
      <c r="AM230" s="76">
        <f t="shared" si="153"/>
        <v>0</v>
      </c>
      <c r="AN230" s="51">
        <f t="shared" si="154"/>
        <v>600000</v>
      </c>
      <c r="AO230" s="36"/>
      <c r="AP230" s="9"/>
      <c r="AQ230" s="9"/>
      <c r="AR230" s="9"/>
      <c r="AS230" s="9"/>
      <c r="AT230" s="9"/>
      <c r="AU230" s="9"/>
      <c r="AV230" s="9">
        <f t="shared" si="155"/>
        <v>0</v>
      </c>
      <c r="AW230" s="10">
        <f t="shared" si="128"/>
        <v>0</v>
      </c>
      <c r="AY230" s="11">
        <f t="shared" ref="AY230:AY246" si="160">V230-W230-AC230</f>
        <v>0</v>
      </c>
    </row>
    <row r="231" spans="5:51" ht="60" customHeight="1" x14ac:dyDescent="0.2">
      <c r="E231" s="151">
        <f t="shared" si="146"/>
        <v>40220</v>
      </c>
      <c r="F231" s="170" t="s">
        <v>264</v>
      </c>
      <c r="G231" s="177">
        <v>300000</v>
      </c>
      <c r="H231" s="178">
        <f>G231</f>
        <v>300000</v>
      </c>
      <c r="I231" s="179">
        <v>100000</v>
      </c>
      <c r="J231" s="180">
        <v>100000</v>
      </c>
      <c r="K231" s="179">
        <v>100000</v>
      </c>
      <c r="L231" s="180">
        <v>50000</v>
      </c>
      <c r="M231" s="179">
        <v>100000</v>
      </c>
      <c r="N231" s="180">
        <v>100000</v>
      </c>
      <c r="O231" s="179">
        <v>100000</v>
      </c>
      <c r="P231" s="180"/>
      <c r="Q231" s="165">
        <f t="shared" si="156"/>
        <v>0</v>
      </c>
      <c r="R231" s="166">
        <f t="shared" si="156"/>
        <v>-100000</v>
      </c>
      <c r="S231" s="156">
        <v>7000</v>
      </c>
      <c r="T231" s="160"/>
      <c r="U231" s="164">
        <f t="shared" si="158"/>
        <v>7000</v>
      </c>
      <c r="V231" s="161">
        <v>100000</v>
      </c>
      <c r="W231" s="158">
        <v>100000</v>
      </c>
      <c r="X231" s="160"/>
      <c r="Y231" s="160"/>
      <c r="Z231" s="160"/>
      <c r="AA231" s="160">
        <f t="shared" si="159"/>
        <v>100000</v>
      </c>
      <c r="AB231" s="159"/>
      <c r="AC231" s="158">
        <f t="shared" si="148"/>
        <v>0</v>
      </c>
      <c r="AD231" s="160"/>
      <c r="AE231" s="160"/>
      <c r="AF231" s="157"/>
      <c r="AG231" s="157"/>
      <c r="AH231" s="159"/>
      <c r="AI231" s="35">
        <f t="shared" si="149"/>
        <v>0</v>
      </c>
      <c r="AJ231" s="11">
        <f t="shared" si="150"/>
        <v>0</v>
      </c>
      <c r="AK231" s="11">
        <f t="shared" si="151"/>
        <v>0</v>
      </c>
      <c r="AL231" s="11">
        <f t="shared" si="152"/>
        <v>100000</v>
      </c>
      <c r="AM231" s="76">
        <f t="shared" si="153"/>
        <v>0</v>
      </c>
      <c r="AN231" s="51">
        <f t="shared" si="154"/>
        <v>100000</v>
      </c>
      <c r="AO231" s="36"/>
      <c r="AP231" s="9"/>
      <c r="AQ231" s="9"/>
      <c r="AR231" s="9"/>
      <c r="AS231" s="9"/>
      <c r="AT231" s="9"/>
      <c r="AU231" s="9"/>
      <c r="AV231" s="9">
        <f t="shared" si="155"/>
        <v>0</v>
      </c>
      <c r="AW231" s="10">
        <f t="shared" si="128"/>
        <v>0</v>
      </c>
      <c r="AY231" s="11">
        <f t="shared" si="160"/>
        <v>0</v>
      </c>
    </row>
    <row r="232" spans="5:51" ht="60" customHeight="1" x14ac:dyDescent="0.2">
      <c r="E232" s="151">
        <f t="shared" si="146"/>
        <v>40221</v>
      </c>
      <c r="F232" s="170" t="s">
        <v>265</v>
      </c>
      <c r="G232" s="177">
        <v>50000</v>
      </c>
      <c r="H232" s="178">
        <f>G232</f>
        <v>50000</v>
      </c>
      <c r="I232" s="179"/>
      <c r="J232" s="180"/>
      <c r="K232" s="179"/>
      <c r="L232" s="180"/>
      <c r="M232" s="179">
        <v>60000</v>
      </c>
      <c r="N232" s="180">
        <v>60000</v>
      </c>
      <c r="O232" s="179">
        <v>100000</v>
      </c>
      <c r="P232" s="180">
        <v>100000</v>
      </c>
      <c r="Q232" s="165">
        <f t="shared" si="156"/>
        <v>40000</v>
      </c>
      <c r="R232" s="166">
        <f t="shared" si="156"/>
        <v>40000</v>
      </c>
      <c r="S232" s="156">
        <v>66000</v>
      </c>
      <c r="T232" s="160"/>
      <c r="U232" s="164">
        <f t="shared" si="158"/>
        <v>66000</v>
      </c>
      <c r="V232" s="161">
        <v>100000</v>
      </c>
      <c r="W232" s="158">
        <v>100000</v>
      </c>
      <c r="X232" s="160"/>
      <c r="Y232" s="160"/>
      <c r="Z232" s="160"/>
      <c r="AA232" s="160">
        <f t="shared" si="159"/>
        <v>100000</v>
      </c>
      <c r="AB232" s="159"/>
      <c r="AC232" s="158">
        <f t="shared" si="148"/>
        <v>0</v>
      </c>
      <c r="AD232" s="160"/>
      <c r="AE232" s="160"/>
      <c r="AF232" s="157"/>
      <c r="AG232" s="157"/>
      <c r="AH232" s="159"/>
      <c r="AI232" s="35">
        <f t="shared" si="149"/>
        <v>0</v>
      </c>
      <c r="AJ232" s="11">
        <f t="shared" si="150"/>
        <v>0</v>
      </c>
      <c r="AK232" s="11">
        <f t="shared" si="151"/>
        <v>0</v>
      </c>
      <c r="AL232" s="11">
        <f t="shared" si="152"/>
        <v>100000</v>
      </c>
      <c r="AM232" s="76">
        <f t="shared" si="153"/>
        <v>0</v>
      </c>
      <c r="AN232" s="51">
        <f t="shared" si="154"/>
        <v>100000</v>
      </c>
      <c r="AO232" s="36"/>
      <c r="AP232" s="9"/>
      <c r="AQ232" s="9"/>
      <c r="AR232" s="9"/>
      <c r="AS232" s="9"/>
      <c r="AT232" s="9"/>
      <c r="AU232" s="9"/>
      <c r="AV232" s="9">
        <f t="shared" si="155"/>
        <v>0</v>
      </c>
      <c r="AW232" s="10">
        <f t="shared" si="128"/>
        <v>0</v>
      </c>
      <c r="AY232" s="11">
        <f t="shared" si="160"/>
        <v>0</v>
      </c>
    </row>
    <row r="233" spans="5:51" ht="60" customHeight="1" x14ac:dyDescent="0.2">
      <c r="E233" s="151">
        <f t="shared" si="146"/>
        <v>40222</v>
      </c>
      <c r="F233" s="170" t="s">
        <v>277</v>
      </c>
      <c r="G233" s="177"/>
      <c r="H233" s="178"/>
      <c r="I233" s="179"/>
      <c r="J233" s="180"/>
      <c r="K233" s="179">
        <v>30000</v>
      </c>
      <c r="L233" s="180">
        <v>15000</v>
      </c>
      <c r="M233" s="179">
        <v>110000</v>
      </c>
      <c r="N233" s="180">
        <v>110000</v>
      </c>
      <c r="O233" s="179">
        <v>30000</v>
      </c>
      <c r="P233" s="180"/>
      <c r="Q233" s="165">
        <f t="shared" si="156"/>
        <v>-80000</v>
      </c>
      <c r="R233" s="166">
        <f t="shared" si="156"/>
        <v>-110000</v>
      </c>
      <c r="S233" s="156">
        <v>59000</v>
      </c>
      <c r="T233" s="160"/>
      <c r="U233" s="164">
        <f t="shared" si="158"/>
        <v>59000</v>
      </c>
      <c r="V233" s="161">
        <v>90000</v>
      </c>
      <c r="W233" s="158">
        <v>90000</v>
      </c>
      <c r="X233" s="160"/>
      <c r="Y233" s="160"/>
      <c r="Z233" s="160"/>
      <c r="AA233" s="160">
        <f t="shared" si="159"/>
        <v>90000</v>
      </c>
      <c r="AB233" s="159"/>
      <c r="AC233" s="158">
        <f t="shared" si="148"/>
        <v>0</v>
      </c>
      <c r="AD233" s="160"/>
      <c r="AE233" s="160"/>
      <c r="AF233" s="157"/>
      <c r="AG233" s="157"/>
      <c r="AH233" s="159"/>
      <c r="AI233" s="35">
        <f t="shared" si="149"/>
        <v>0</v>
      </c>
      <c r="AJ233" s="11">
        <f t="shared" si="150"/>
        <v>0</v>
      </c>
      <c r="AK233" s="11">
        <f t="shared" si="151"/>
        <v>0</v>
      </c>
      <c r="AL233" s="11">
        <f t="shared" si="152"/>
        <v>90000</v>
      </c>
      <c r="AM233" s="76">
        <f t="shared" si="153"/>
        <v>0</v>
      </c>
      <c r="AN233" s="51">
        <f t="shared" si="154"/>
        <v>90000</v>
      </c>
      <c r="AO233" s="36"/>
      <c r="AP233" s="9"/>
      <c r="AQ233" s="9"/>
      <c r="AR233" s="9"/>
      <c r="AS233" s="9"/>
      <c r="AT233" s="9"/>
      <c r="AU233" s="9"/>
      <c r="AV233" s="9">
        <f t="shared" si="155"/>
        <v>0</v>
      </c>
      <c r="AW233" s="10"/>
      <c r="AY233" s="11">
        <f t="shared" si="160"/>
        <v>0</v>
      </c>
    </row>
    <row r="234" spans="5:51" ht="60" customHeight="1" x14ac:dyDescent="0.2">
      <c r="E234" s="151">
        <f t="shared" si="146"/>
        <v>40223</v>
      </c>
      <c r="F234" s="170" t="s">
        <v>278</v>
      </c>
      <c r="G234" s="177"/>
      <c r="H234" s="178"/>
      <c r="I234" s="179"/>
      <c r="J234" s="180"/>
      <c r="K234" s="179"/>
      <c r="L234" s="180"/>
      <c r="M234" s="179">
        <v>100000</v>
      </c>
      <c r="N234" s="180">
        <v>100000</v>
      </c>
      <c r="O234" s="179">
        <v>100000</v>
      </c>
      <c r="P234" s="180">
        <v>75000</v>
      </c>
      <c r="Q234" s="165">
        <f t="shared" si="156"/>
        <v>0</v>
      </c>
      <c r="R234" s="166">
        <f t="shared" si="156"/>
        <v>-25000</v>
      </c>
      <c r="S234" s="156">
        <v>175000</v>
      </c>
      <c r="T234" s="160"/>
      <c r="U234" s="164">
        <f t="shared" si="158"/>
        <v>175000</v>
      </c>
      <c r="V234" s="161">
        <v>100000</v>
      </c>
      <c r="W234" s="158">
        <v>100000</v>
      </c>
      <c r="X234" s="160"/>
      <c r="Y234" s="160"/>
      <c r="Z234" s="160"/>
      <c r="AA234" s="160">
        <f t="shared" si="159"/>
        <v>100000</v>
      </c>
      <c r="AB234" s="159"/>
      <c r="AC234" s="158">
        <f t="shared" si="148"/>
        <v>0</v>
      </c>
      <c r="AD234" s="160"/>
      <c r="AE234" s="160"/>
      <c r="AF234" s="157"/>
      <c r="AG234" s="157"/>
      <c r="AH234" s="159"/>
      <c r="AI234" s="35">
        <f t="shared" si="149"/>
        <v>0</v>
      </c>
      <c r="AJ234" s="11">
        <f t="shared" si="150"/>
        <v>0</v>
      </c>
      <c r="AK234" s="11">
        <f t="shared" si="151"/>
        <v>0</v>
      </c>
      <c r="AL234" s="11">
        <f t="shared" si="152"/>
        <v>100000</v>
      </c>
      <c r="AM234" s="76">
        <f t="shared" si="153"/>
        <v>0</v>
      </c>
      <c r="AN234" s="51">
        <f t="shared" si="154"/>
        <v>100000</v>
      </c>
      <c r="AO234" s="36"/>
      <c r="AP234" s="9"/>
      <c r="AQ234" s="9"/>
      <c r="AR234" s="9"/>
      <c r="AS234" s="9"/>
      <c r="AT234" s="9"/>
      <c r="AU234" s="9"/>
      <c r="AV234" s="9">
        <f t="shared" si="155"/>
        <v>0</v>
      </c>
      <c r="AW234" s="10"/>
      <c r="AY234" s="11">
        <f t="shared" si="160"/>
        <v>0</v>
      </c>
    </row>
    <row r="235" spans="5:51" ht="60" customHeight="1" x14ac:dyDescent="0.2">
      <c r="E235" s="151">
        <f t="shared" si="146"/>
        <v>40224</v>
      </c>
      <c r="F235" s="170" t="s">
        <v>344</v>
      </c>
      <c r="G235" s="177">
        <v>5300000</v>
      </c>
      <c r="H235" s="178">
        <v>5300000</v>
      </c>
      <c r="I235" s="179">
        <v>2100000</v>
      </c>
      <c r="J235" s="180">
        <f>I235</f>
        <v>2100000</v>
      </c>
      <c r="K235" s="179">
        <v>3044000</v>
      </c>
      <c r="L235" s="180">
        <v>3044000</v>
      </c>
      <c r="M235" s="179"/>
      <c r="N235" s="180"/>
      <c r="O235" s="179"/>
      <c r="P235" s="180"/>
      <c r="Q235" s="165">
        <f t="shared" si="156"/>
        <v>0</v>
      </c>
      <c r="R235" s="166">
        <f t="shared" si="156"/>
        <v>0</v>
      </c>
      <c r="S235" s="156"/>
      <c r="T235" s="160"/>
      <c r="U235" s="164">
        <f t="shared" si="158"/>
        <v>0</v>
      </c>
      <c r="V235" s="161">
        <v>1000000</v>
      </c>
      <c r="W235" s="158">
        <v>0</v>
      </c>
      <c r="X235" s="160"/>
      <c r="Y235" s="160">
        <f>W235</f>
        <v>0</v>
      </c>
      <c r="Z235" s="160"/>
      <c r="AA235" s="160"/>
      <c r="AB235" s="159"/>
      <c r="AC235" s="158">
        <f t="shared" si="148"/>
        <v>1000000</v>
      </c>
      <c r="AD235" s="160"/>
      <c r="AE235" s="160"/>
      <c r="AF235" s="157"/>
      <c r="AG235" s="157">
        <f>AC235</f>
        <v>1000000</v>
      </c>
      <c r="AH235" s="159"/>
      <c r="AI235" s="35">
        <f t="shared" si="149"/>
        <v>0</v>
      </c>
      <c r="AJ235" s="11">
        <f t="shared" si="150"/>
        <v>0</v>
      </c>
      <c r="AK235" s="11">
        <f t="shared" si="151"/>
        <v>0</v>
      </c>
      <c r="AL235" s="11">
        <f t="shared" si="152"/>
        <v>1000000</v>
      </c>
      <c r="AM235" s="76">
        <f t="shared" si="153"/>
        <v>0</v>
      </c>
      <c r="AN235" s="51">
        <f t="shared" si="154"/>
        <v>1000000</v>
      </c>
      <c r="AO235" s="36"/>
      <c r="AP235" s="9"/>
      <c r="AQ235" s="9"/>
      <c r="AR235" s="9"/>
      <c r="AS235" s="9"/>
      <c r="AT235" s="9"/>
      <c r="AU235" s="9"/>
      <c r="AV235" s="9">
        <f t="shared" si="155"/>
        <v>0</v>
      </c>
      <c r="AW235" s="10">
        <f t="shared" si="128"/>
        <v>0</v>
      </c>
      <c r="AY235" s="11">
        <f t="shared" si="160"/>
        <v>0</v>
      </c>
    </row>
    <row r="236" spans="5:51" ht="60" customHeight="1" x14ac:dyDescent="0.2">
      <c r="E236" s="151">
        <f t="shared" si="146"/>
        <v>40225</v>
      </c>
      <c r="F236" s="170" t="s">
        <v>345</v>
      </c>
      <c r="G236" s="177"/>
      <c r="H236" s="178"/>
      <c r="I236" s="179"/>
      <c r="J236" s="180"/>
      <c r="K236" s="179"/>
      <c r="L236" s="180"/>
      <c r="M236" s="179"/>
      <c r="N236" s="180"/>
      <c r="O236" s="179">
        <v>100000</v>
      </c>
      <c r="P236" s="180">
        <v>25000</v>
      </c>
      <c r="Q236" s="165">
        <f t="shared" si="156"/>
        <v>100000</v>
      </c>
      <c r="R236" s="166">
        <f t="shared" si="156"/>
        <v>25000</v>
      </c>
      <c r="S236" s="156">
        <v>9000</v>
      </c>
      <c r="T236" s="160"/>
      <c r="U236" s="164">
        <f t="shared" si="158"/>
        <v>9000</v>
      </c>
      <c r="V236" s="161">
        <v>100000</v>
      </c>
      <c r="W236" s="158">
        <v>100000</v>
      </c>
      <c r="X236" s="160"/>
      <c r="Y236" s="160"/>
      <c r="Z236" s="160"/>
      <c r="AA236" s="160">
        <f>W236</f>
        <v>100000</v>
      </c>
      <c r="AB236" s="159"/>
      <c r="AC236" s="158">
        <f t="shared" si="148"/>
        <v>0</v>
      </c>
      <c r="AD236" s="160"/>
      <c r="AE236" s="160"/>
      <c r="AF236" s="157"/>
      <c r="AG236" s="157"/>
      <c r="AH236" s="159"/>
      <c r="AI236" s="35">
        <f t="shared" si="149"/>
        <v>0</v>
      </c>
      <c r="AJ236" s="11">
        <f t="shared" si="150"/>
        <v>0</v>
      </c>
      <c r="AK236" s="11">
        <f t="shared" si="151"/>
        <v>0</v>
      </c>
      <c r="AL236" s="11">
        <f t="shared" si="152"/>
        <v>100000</v>
      </c>
      <c r="AM236" s="76">
        <f t="shared" si="153"/>
        <v>0</v>
      </c>
      <c r="AN236" s="51">
        <f t="shared" si="154"/>
        <v>100000</v>
      </c>
      <c r="AO236" s="36"/>
      <c r="AP236" s="9"/>
      <c r="AQ236" s="9"/>
      <c r="AR236" s="9"/>
      <c r="AS236" s="9"/>
      <c r="AT236" s="9"/>
      <c r="AU236" s="9"/>
      <c r="AV236" s="9"/>
      <c r="AW236" s="10"/>
      <c r="AY236" s="11">
        <f t="shared" si="160"/>
        <v>0</v>
      </c>
    </row>
    <row r="237" spans="5:51" ht="60" customHeight="1" x14ac:dyDescent="0.2">
      <c r="E237" s="151">
        <f t="shared" si="146"/>
        <v>40226</v>
      </c>
      <c r="F237" s="170" t="s">
        <v>346</v>
      </c>
      <c r="G237" s="177"/>
      <c r="H237" s="178"/>
      <c r="I237" s="179"/>
      <c r="J237" s="180"/>
      <c r="K237" s="179"/>
      <c r="L237" s="180"/>
      <c r="M237" s="179"/>
      <c r="N237" s="180"/>
      <c r="O237" s="179">
        <v>70000</v>
      </c>
      <c r="P237" s="180"/>
      <c r="Q237" s="165">
        <f t="shared" si="156"/>
        <v>70000</v>
      </c>
      <c r="R237" s="166">
        <f t="shared" si="156"/>
        <v>0</v>
      </c>
      <c r="S237" s="156"/>
      <c r="T237" s="160"/>
      <c r="U237" s="164"/>
      <c r="V237" s="161">
        <v>153000</v>
      </c>
      <c r="W237" s="158">
        <v>0</v>
      </c>
      <c r="X237" s="160"/>
      <c r="Y237" s="160">
        <f>W237</f>
        <v>0</v>
      </c>
      <c r="Z237" s="160"/>
      <c r="AA237" s="160"/>
      <c r="AB237" s="159"/>
      <c r="AC237" s="158">
        <f t="shared" si="148"/>
        <v>153000</v>
      </c>
      <c r="AD237" s="160"/>
      <c r="AE237" s="160"/>
      <c r="AF237" s="157"/>
      <c r="AG237" s="157">
        <f>AC237</f>
        <v>153000</v>
      </c>
      <c r="AH237" s="159"/>
      <c r="AI237" s="35">
        <f t="shared" si="149"/>
        <v>0</v>
      </c>
      <c r="AJ237" s="11">
        <f t="shared" si="150"/>
        <v>0</v>
      </c>
      <c r="AK237" s="11">
        <f t="shared" si="151"/>
        <v>0</v>
      </c>
      <c r="AL237" s="11">
        <f t="shared" si="152"/>
        <v>153000</v>
      </c>
      <c r="AM237" s="76">
        <f t="shared" si="153"/>
        <v>0</v>
      </c>
      <c r="AN237" s="51">
        <f t="shared" si="154"/>
        <v>153000</v>
      </c>
      <c r="AO237" s="36"/>
      <c r="AP237" s="9"/>
      <c r="AQ237" s="9"/>
      <c r="AR237" s="9"/>
      <c r="AS237" s="9"/>
      <c r="AT237" s="9"/>
      <c r="AU237" s="9"/>
      <c r="AV237" s="9"/>
      <c r="AW237" s="10"/>
      <c r="AY237" s="11">
        <f t="shared" si="160"/>
        <v>0</v>
      </c>
    </row>
    <row r="238" spans="5:51" ht="60" customHeight="1" x14ac:dyDescent="0.2">
      <c r="E238" s="151">
        <f t="shared" si="146"/>
        <v>40227</v>
      </c>
      <c r="F238" s="170" t="s">
        <v>452</v>
      </c>
      <c r="G238" s="177"/>
      <c r="H238" s="178"/>
      <c r="I238" s="179"/>
      <c r="J238" s="180"/>
      <c r="K238" s="179"/>
      <c r="L238" s="180"/>
      <c r="M238" s="179"/>
      <c r="N238" s="180"/>
      <c r="O238" s="179"/>
      <c r="P238" s="180"/>
      <c r="Q238" s="165"/>
      <c r="R238" s="166"/>
      <c r="S238" s="156"/>
      <c r="T238" s="156"/>
      <c r="U238" s="171"/>
      <c r="V238" s="161">
        <v>819000</v>
      </c>
      <c r="W238" s="158">
        <v>0</v>
      </c>
      <c r="X238" s="160"/>
      <c r="Y238" s="160">
        <f>W238</f>
        <v>0</v>
      </c>
      <c r="Z238" s="160"/>
      <c r="AA238" s="160"/>
      <c r="AB238" s="159"/>
      <c r="AC238" s="158">
        <f t="shared" si="148"/>
        <v>819000</v>
      </c>
      <c r="AD238" s="160"/>
      <c r="AE238" s="160"/>
      <c r="AF238" s="157"/>
      <c r="AG238" s="157">
        <f>AC238</f>
        <v>819000</v>
      </c>
      <c r="AH238" s="159"/>
      <c r="AI238" s="35">
        <f t="shared" si="149"/>
        <v>0</v>
      </c>
      <c r="AJ238" s="11">
        <f t="shared" si="150"/>
        <v>0</v>
      </c>
      <c r="AK238" s="11">
        <f t="shared" si="151"/>
        <v>0</v>
      </c>
      <c r="AL238" s="11">
        <f t="shared" si="152"/>
        <v>819000</v>
      </c>
      <c r="AM238" s="76">
        <f t="shared" si="153"/>
        <v>0</v>
      </c>
      <c r="AN238" s="51">
        <f t="shared" si="154"/>
        <v>819000</v>
      </c>
      <c r="AO238" s="36"/>
      <c r="AP238" s="9"/>
      <c r="AQ238" s="9"/>
      <c r="AR238" s="9"/>
      <c r="AS238" s="9"/>
      <c r="AT238" s="9"/>
      <c r="AU238" s="9"/>
      <c r="AV238" s="9"/>
      <c r="AW238" s="10"/>
      <c r="AY238" s="11">
        <f t="shared" si="160"/>
        <v>0</v>
      </c>
    </row>
    <row r="239" spans="5:51" ht="60" customHeight="1" x14ac:dyDescent="0.2">
      <c r="E239" s="149"/>
      <c r="F239" s="127" t="s">
        <v>118</v>
      </c>
      <c r="G239" s="118">
        <f t="shared" ref="G239:N239" si="161">SUM(G212:G237)</f>
        <v>56295000</v>
      </c>
      <c r="H239" s="116">
        <f t="shared" si="161"/>
        <v>56295000</v>
      </c>
      <c r="I239" s="115">
        <f t="shared" si="161"/>
        <v>54680000</v>
      </c>
      <c r="J239" s="117">
        <f t="shared" si="161"/>
        <v>54314000</v>
      </c>
      <c r="K239" s="115">
        <f t="shared" si="161"/>
        <v>57279000</v>
      </c>
      <c r="L239" s="117">
        <f t="shared" si="161"/>
        <v>57366000</v>
      </c>
      <c r="M239" s="115">
        <f t="shared" si="161"/>
        <v>63267000</v>
      </c>
      <c r="N239" s="117">
        <f t="shared" si="161"/>
        <v>63267000</v>
      </c>
      <c r="O239" s="115">
        <f t="shared" ref="O239:AN239" si="162">SUM(O212:O238)</f>
        <v>89560000</v>
      </c>
      <c r="P239" s="117">
        <f t="shared" si="162"/>
        <v>85242000</v>
      </c>
      <c r="Q239" s="115">
        <f t="shared" si="162"/>
        <v>26293000</v>
      </c>
      <c r="R239" s="117">
        <f t="shared" si="162"/>
        <v>21975000</v>
      </c>
      <c r="S239" s="118">
        <f t="shared" si="162"/>
        <v>7234000</v>
      </c>
      <c r="T239" s="120">
        <f t="shared" si="162"/>
        <v>0</v>
      </c>
      <c r="U239" s="116">
        <f t="shared" si="162"/>
        <v>7234000</v>
      </c>
      <c r="V239" s="119">
        <f t="shared" si="162"/>
        <v>93550000</v>
      </c>
      <c r="W239" s="115">
        <f t="shared" si="162"/>
        <v>82570000</v>
      </c>
      <c r="X239" s="120">
        <f t="shared" si="162"/>
        <v>0</v>
      </c>
      <c r="Y239" s="120">
        <f t="shared" si="162"/>
        <v>0</v>
      </c>
      <c r="Z239" s="120">
        <f t="shared" si="162"/>
        <v>0</v>
      </c>
      <c r="AA239" s="120">
        <f t="shared" si="162"/>
        <v>82570000</v>
      </c>
      <c r="AB239" s="117">
        <f t="shared" si="162"/>
        <v>0</v>
      </c>
      <c r="AC239" s="115">
        <f t="shared" si="162"/>
        <v>10980000</v>
      </c>
      <c r="AD239" s="120">
        <f t="shared" si="162"/>
        <v>0</v>
      </c>
      <c r="AE239" s="120">
        <f t="shared" si="162"/>
        <v>0</v>
      </c>
      <c r="AF239" s="116">
        <f t="shared" si="162"/>
        <v>0</v>
      </c>
      <c r="AG239" s="116">
        <f t="shared" si="162"/>
        <v>10980000</v>
      </c>
      <c r="AH239" s="117">
        <f t="shared" si="162"/>
        <v>0</v>
      </c>
      <c r="AI239" s="47">
        <f t="shared" si="162"/>
        <v>0</v>
      </c>
      <c r="AJ239" s="10">
        <f t="shared" si="162"/>
        <v>0</v>
      </c>
      <c r="AK239" s="10">
        <f t="shared" si="162"/>
        <v>0</v>
      </c>
      <c r="AL239" s="10">
        <f t="shared" si="162"/>
        <v>93550000</v>
      </c>
      <c r="AM239" s="48">
        <f t="shared" si="162"/>
        <v>0</v>
      </c>
      <c r="AN239" s="52">
        <f t="shared" si="162"/>
        <v>93550000</v>
      </c>
      <c r="AO239" s="39">
        <f t="shared" ref="AO239:AW239" si="163">SUM(AO212:AO237)</f>
        <v>0</v>
      </c>
      <c r="AP239" s="10">
        <f t="shared" si="163"/>
        <v>52900000</v>
      </c>
      <c r="AQ239" s="10">
        <f t="shared" si="163"/>
        <v>0</v>
      </c>
      <c r="AR239" s="10">
        <f t="shared" si="163"/>
        <v>0</v>
      </c>
      <c r="AS239" s="10">
        <f t="shared" si="163"/>
        <v>0</v>
      </c>
      <c r="AT239" s="10">
        <f t="shared" si="163"/>
        <v>52900000</v>
      </c>
      <c r="AU239" s="10">
        <f t="shared" si="163"/>
        <v>0</v>
      </c>
      <c r="AV239" s="10">
        <f t="shared" si="163"/>
        <v>52900000</v>
      </c>
      <c r="AW239" s="10">
        <f t="shared" si="163"/>
        <v>0</v>
      </c>
      <c r="AY239" s="11">
        <f t="shared" si="160"/>
        <v>0</v>
      </c>
    </row>
    <row r="240" spans="5:51" ht="60" customHeight="1" x14ac:dyDescent="0.2">
      <c r="E240" s="151">
        <v>40300</v>
      </c>
      <c r="F240" s="155" t="s">
        <v>119</v>
      </c>
      <c r="G240" s="177"/>
      <c r="H240" s="178"/>
      <c r="I240" s="179"/>
      <c r="J240" s="180"/>
      <c r="K240" s="179"/>
      <c r="L240" s="180"/>
      <c r="M240" s="179"/>
      <c r="N240" s="180"/>
      <c r="O240" s="179"/>
      <c r="P240" s="180"/>
      <c r="Q240" s="179"/>
      <c r="R240" s="180"/>
      <c r="S240" s="156"/>
      <c r="T240" s="160"/>
      <c r="U240" s="164"/>
      <c r="V240" s="161"/>
      <c r="W240" s="158"/>
      <c r="X240" s="160"/>
      <c r="Y240" s="160"/>
      <c r="Z240" s="160"/>
      <c r="AA240" s="160"/>
      <c r="AB240" s="159"/>
      <c r="AC240" s="158"/>
      <c r="AD240" s="160"/>
      <c r="AE240" s="160"/>
      <c r="AF240" s="157"/>
      <c r="AG240" s="157"/>
      <c r="AH240" s="159"/>
      <c r="AI240" s="45"/>
      <c r="AJ240" s="9"/>
      <c r="AK240" s="9"/>
      <c r="AL240" s="15"/>
      <c r="AM240" s="46"/>
      <c r="AN240" s="50"/>
      <c r="AO240" s="36"/>
      <c r="AP240" s="9"/>
      <c r="AQ240" s="9"/>
      <c r="AR240" s="9"/>
      <c r="AS240" s="9"/>
      <c r="AT240" s="9"/>
      <c r="AU240" s="9"/>
      <c r="AV240" s="9"/>
      <c r="AW240" s="10">
        <f t="shared" si="128"/>
        <v>0</v>
      </c>
      <c r="AY240" s="11">
        <f t="shared" si="160"/>
        <v>0</v>
      </c>
    </row>
    <row r="241" spans="5:55" ht="60" customHeight="1" x14ac:dyDescent="0.2">
      <c r="E241" s="151">
        <f t="shared" ref="E241:E248" si="164">E240+1</f>
        <v>40301</v>
      </c>
      <c r="F241" s="170" t="s">
        <v>120</v>
      </c>
      <c r="G241" s="177">
        <v>30000</v>
      </c>
      <c r="H241" s="178">
        <f>G241</f>
        <v>30000</v>
      </c>
      <c r="I241" s="179">
        <v>30000</v>
      </c>
      <c r="J241" s="180">
        <f>I241</f>
        <v>30000</v>
      </c>
      <c r="K241" s="179">
        <v>30000</v>
      </c>
      <c r="L241" s="180">
        <v>15000</v>
      </c>
      <c r="M241" s="179">
        <v>40000</v>
      </c>
      <c r="N241" s="180">
        <v>40000</v>
      </c>
      <c r="O241" s="179">
        <v>140000</v>
      </c>
      <c r="P241" s="180">
        <v>140000</v>
      </c>
      <c r="Q241" s="165">
        <f>O241-M241</f>
        <v>100000</v>
      </c>
      <c r="R241" s="166">
        <f>P241-N241</f>
        <v>100000</v>
      </c>
      <c r="S241" s="156">
        <v>131000</v>
      </c>
      <c r="T241" s="160"/>
      <c r="U241" s="164">
        <f>S241</f>
        <v>131000</v>
      </c>
      <c r="V241" s="161">
        <v>40000</v>
      </c>
      <c r="W241" s="158">
        <v>40000</v>
      </c>
      <c r="X241" s="160"/>
      <c r="Y241" s="160"/>
      <c r="Z241" s="160"/>
      <c r="AA241" s="160">
        <f>W241</f>
        <v>40000</v>
      </c>
      <c r="AB241" s="159"/>
      <c r="AC241" s="158">
        <f t="shared" ref="AC241:AC247" si="165">V241-W241</f>
        <v>0</v>
      </c>
      <c r="AD241" s="160"/>
      <c r="AE241" s="160"/>
      <c r="AF241" s="157"/>
      <c r="AG241" s="157"/>
      <c r="AH241" s="159"/>
      <c r="AI241" s="35">
        <f t="shared" ref="AI241:AI248" si="166">AD241+X241</f>
        <v>0</v>
      </c>
      <c r="AJ241" s="11">
        <f t="shared" ref="AJ241:AJ248" si="167">AE241+Y241</f>
        <v>0</v>
      </c>
      <c r="AK241" s="11">
        <f t="shared" ref="AK241:AK248" si="168">AF241+Z241</f>
        <v>0</v>
      </c>
      <c r="AL241" s="11">
        <f t="shared" ref="AL241:AL248" si="169">AG241+AA241</f>
        <v>40000</v>
      </c>
      <c r="AM241" s="76">
        <f t="shared" ref="AM241:AM248" si="170">AH241+AB241</f>
        <v>0</v>
      </c>
      <c r="AN241" s="51">
        <f t="shared" ref="AN241:AN248" si="171">SUM(AJ241:AM241)</f>
        <v>40000</v>
      </c>
      <c r="AO241" s="36"/>
      <c r="AP241" s="9"/>
      <c r="AQ241" s="9"/>
      <c r="AR241" s="9"/>
      <c r="AS241" s="9"/>
      <c r="AT241" s="9"/>
      <c r="AU241" s="9"/>
      <c r="AV241" s="9">
        <f>AU241+AT241+AS241+AR241</f>
        <v>0</v>
      </c>
      <c r="AW241" s="10">
        <f t="shared" si="128"/>
        <v>0</v>
      </c>
      <c r="AY241" s="11">
        <f t="shared" si="160"/>
        <v>0</v>
      </c>
    </row>
    <row r="242" spans="5:55" ht="60" customHeight="1" x14ac:dyDescent="0.2">
      <c r="E242" s="151">
        <f t="shared" si="164"/>
        <v>40302</v>
      </c>
      <c r="F242" s="170" t="s">
        <v>453</v>
      </c>
      <c r="G242" s="177">
        <v>400000</v>
      </c>
      <c r="H242" s="178">
        <f>G242</f>
        <v>400000</v>
      </c>
      <c r="I242" s="179">
        <v>500000</v>
      </c>
      <c r="J242" s="180">
        <v>500000</v>
      </c>
      <c r="K242" s="179">
        <v>500000</v>
      </c>
      <c r="L242" s="180">
        <v>500000</v>
      </c>
      <c r="M242" s="179">
        <v>500000</v>
      </c>
      <c r="N242" s="180">
        <v>500000</v>
      </c>
      <c r="O242" s="179">
        <v>600000</v>
      </c>
      <c r="P242" s="180">
        <v>600000</v>
      </c>
      <c r="Q242" s="165">
        <f t="shared" ref="Q242:R248" si="172">O242-M242</f>
        <v>100000</v>
      </c>
      <c r="R242" s="166">
        <f t="shared" si="172"/>
        <v>100000</v>
      </c>
      <c r="S242" s="156"/>
      <c r="T242" s="160"/>
      <c r="U242" s="164">
        <f>S242</f>
        <v>0</v>
      </c>
      <c r="V242" s="161">
        <v>725000</v>
      </c>
      <c r="W242" s="158">
        <f>V242</f>
        <v>725000</v>
      </c>
      <c r="X242" s="160"/>
      <c r="Y242" s="160"/>
      <c r="Z242" s="160"/>
      <c r="AA242" s="160">
        <f>W242</f>
        <v>725000</v>
      </c>
      <c r="AB242" s="159"/>
      <c r="AC242" s="158">
        <f t="shared" si="165"/>
        <v>0</v>
      </c>
      <c r="AD242" s="160"/>
      <c r="AE242" s="160"/>
      <c r="AF242" s="157"/>
      <c r="AG242" s="157"/>
      <c r="AH242" s="159"/>
      <c r="AI242" s="35">
        <f t="shared" si="166"/>
        <v>0</v>
      </c>
      <c r="AJ242" s="11">
        <f t="shared" si="167"/>
        <v>0</v>
      </c>
      <c r="AK242" s="11">
        <f t="shared" si="168"/>
        <v>0</v>
      </c>
      <c r="AL242" s="11">
        <f t="shared" si="169"/>
        <v>725000</v>
      </c>
      <c r="AM242" s="76">
        <f t="shared" si="170"/>
        <v>0</v>
      </c>
      <c r="AN242" s="51">
        <f t="shared" si="171"/>
        <v>725000</v>
      </c>
      <c r="AO242" s="36"/>
      <c r="AP242" s="9"/>
      <c r="AQ242" s="9"/>
      <c r="AR242" s="9"/>
      <c r="AS242" s="9"/>
      <c r="AT242" s="9"/>
      <c r="AU242" s="9"/>
      <c r="AV242" s="9">
        <f>AU242+AT242+AS242+AR242</f>
        <v>0</v>
      </c>
      <c r="AW242" s="10">
        <f t="shared" si="128"/>
        <v>0</v>
      </c>
      <c r="AY242" s="11">
        <f t="shared" si="160"/>
        <v>0</v>
      </c>
    </row>
    <row r="243" spans="5:55" ht="60" customHeight="1" x14ac:dyDescent="0.2">
      <c r="E243" s="151">
        <f t="shared" si="164"/>
        <v>40303</v>
      </c>
      <c r="F243" s="170" t="s">
        <v>121</v>
      </c>
      <c r="G243" s="177">
        <v>160000</v>
      </c>
      <c r="H243" s="178">
        <f>G243</f>
        <v>160000</v>
      </c>
      <c r="I243" s="179">
        <v>75000</v>
      </c>
      <c r="J243" s="180">
        <f>I243</f>
        <v>75000</v>
      </c>
      <c r="K243" s="179">
        <v>120000</v>
      </c>
      <c r="L243" s="180">
        <v>120000</v>
      </c>
      <c r="M243" s="179">
        <v>450000</v>
      </c>
      <c r="N243" s="180">
        <v>450000</v>
      </c>
      <c r="O243" s="179">
        <v>350000</v>
      </c>
      <c r="P243" s="180"/>
      <c r="Q243" s="165">
        <f t="shared" si="172"/>
        <v>-100000</v>
      </c>
      <c r="R243" s="166">
        <f t="shared" si="172"/>
        <v>-450000</v>
      </c>
      <c r="S243" s="156"/>
      <c r="T243" s="160">
        <f>S243*0.44</f>
        <v>0</v>
      </c>
      <c r="U243" s="157">
        <f>S243-T243</f>
        <v>0</v>
      </c>
      <c r="V243" s="161">
        <v>600000</v>
      </c>
      <c r="W243" s="158">
        <v>600000</v>
      </c>
      <c r="X243" s="160">
        <f>W243/2</f>
        <v>300000</v>
      </c>
      <c r="Y243" s="160"/>
      <c r="Z243" s="160"/>
      <c r="AA243" s="160">
        <f>W243-X243</f>
        <v>300000</v>
      </c>
      <c r="AB243" s="159"/>
      <c r="AC243" s="158">
        <f t="shared" si="165"/>
        <v>0</v>
      </c>
      <c r="AD243" s="160"/>
      <c r="AE243" s="160"/>
      <c r="AF243" s="157"/>
      <c r="AG243" s="157"/>
      <c r="AH243" s="159"/>
      <c r="AI243" s="35">
        <f t="shared" si="166"/>
        <v>300000</v>
      </c>
      <c r="AJ243" s="11">
        <f t="shared" si="167"/>
        <v>0</v>
      </c>
      <c r="AK243" s="11">
        <f t="shared" si="168"/>
        <v>0</v>
      </c>
      <c r="AL243" s="11">
        <f t="shared" si="169"/>
        <v>300000</v>
      </c>
      <c r="AM243" s="76">
        <f t="shared" si="170"/>
        <v>0</v>
      </c>
      <c r="AN243" s="51">
        <f t="shared" si="171"/>
        <v>300000</v>
      </c>
      <c r="AO243" s="36"/>
      <c r="AP243" s="9"/>
      <c r="AQ243" s="9"/>
      <c r="AR243" s="9"/>
      <c r="AS243" s="9"/>
      <c r="AT243" s="9"/>
      <c r="AU243" s="9"/>
      <c r="AV243" s="9">
        <f>AU243+AT243+AS243+AR243</f>
        <v>0</v>
      </c>
      <c r="AW243" s="10">
        <f t="shared" si="128"/>
        <v>0</v>
      </c>
      <c r="AY243" s="11">
        <f t="shared" si="160"/>
        <v>0</v>
      </c>
    </row>
    <row r="244" spans="5:55" ht="60" customHeight="1" x14ac:dyDescent="0.2">
      <c r="E244" s="151">
        <f t="shared" si="164"/>
        <v>40304</v>
      </c>
      <c r="F244" s="170" t="s">
        <v>122</v>
      </c>
      <c r="G244" s="177"/>
      <c r="H244" s="178"/>
      <c r="I244" s="179"/>
      <c r="J244" s="180"/>
      <c r="K244" s="179">
        <v>1036000</v>
      </c>
      <c r="L244" s="180">
        <f>1036000+136000</f>
        <v>1172000</v>
      </c>
      <c r="M244" s="179">
        <v>300000</v>
      </c>
      <c r="N244" s="180">
        <v>300000</v>
      </c>
      <c r="O244" s="179">
        <v>832000</v>
      </c>
      <c r="P244" s="180">
        <v>300000</v>
      </c>
      <c r="Q244" s="165">
        <f t="shared" si="172"/>
        <v>532000</v>
      </c>
      <c r="R244" s="166">
        <f t="shared" si="172"/>
        <v>0</v>
      </c>
      <c r="S244" s="156">
        <v>48000</v>
      </c>
      <c r="T244" s="160"/>
      <c r="U244" s="164">
        <f>S244</f>
        <v>48000</v>
      </c>
      <c r="V244" s="161">
        <v>500000</v>
      </c>
      <c r="W244" s="158">
        <v>0</v>
      </c>
      <c r="X244" s="160"/>
      <c r="Y244" s="160">
        <f>W244</f>
        <v>0</v>
      </c>
      <c r="Z244" s="160"/>
      <c r="AA244" s="160"/>
      <c r="AB244" s="159"/>
      <c r="AC244" s="158">
        <f t="shared" si="165"/>
        <v>500000</v>
      </c>
      <c r="AD244" s="160"/>
      <c r="AE244" s="160"/>
      <c r="AF244" s="157"/>
      <c r="AG244" s="157">
        <f>AC244</f>
        <v>500000</v>
      </c>
      <c r="AH244" s="159"/>
      <c r="AI244" s="35">
        <f t="shared" si="166"/>
        <v>0</v>
      </c>
      <c r="AJ244" s="11">
        <f t="shared" si="167"/>
        <v>0</v>
      </c>
      <c r="AK244" s="11">
        <f t="shared" si="168"/>
        <v>0</v>
      </c>
      <c r="AL244" s="11">
        <f t="shared" si="169"/>
        <v>500000</v>
      </c>
      <c r="AM244" s="76">
        <f t="shared" si="170"/>
        <v>0</v>
      </c>
      <c r="AN244" s="51">
        <f t="shared" si="171"/>
        <v>500000</v>
      </c>
      <c r="AO244" s="36"/>
      <c r="AP244" s="9"/>
      <c r="AQ244" s="9"/>
      <c r="AR244" s="9"/>
      <c r="AS244" s="9"/>
      <c r="AT244" s="9"/>
      <c r="AU244" s="9"/>
      <c r="AV244" s="9">
        <f>AU244+AT244+AS244+AR244</f>
        <v>0</v>
      </c>
      <c r="AW244" s="10">
        <f t="shared" si="128"/>
        <v>0</v>
      </c>
      <c r="AY244" s="11">
        <f t="shared" si="160"/>
        <v>0</v>
      </c>
    </row>
    <row r="245" spans="5:55" ht="60" customHeight="1" x14ac:dyDescent="0.2">
      <c r="E245" s="151">
        <f t="shared" si="164"/>
        <v>40305</v>
      </c>
      <c r="F245" s="162" t="s">
        <v>123</v>
      </c>
      <c r="G245" s="177">
        <v>5000</v>
      </c>
      <c r="H245" s="178">
        <f>G245:G246</f>
        <v>5000</v>
      </c>
      <c r="I245" s="179">
        <v>5000</v>
      </c>
      <c r="J245" s="180">
        <f>I245</f>
        <v>5000</v>
      </c>
      <c r="K245" s="179">
        <v>5000</v>
      </c>
      <c r="L245" s="180">
        <v>5000</v>
      </c>
      <c r="M245" s="179">
        <v>5000</v>
      </c>
      <c r="N245" s="180">
        <v>5000</v>
      </c>
      <c r="O245" s="179">
        <v>5000</v>
      </c>
      <c r="P245" s="180">
        <v>5000</v>
      </c>
      <c r="Q245" s="165">
        <f t="shared" si="172"/>
        <v>0</v>
      </c>
      <c r="R245" s="166">
        <f t="shared" si="172"/>
        <v>0</v>
      </c>
      <c r="S245" s="156"/>
      <c r="T245" s="160"/>
      <c r="U245" s="157"/>
      <c r="V245" s="161">
        <v>5000</v>
      </c>
      <c r="W245" s="158">
        <v>5000</v>
      </c>
      <c r="X245" s="160"/>
      <c r="Y245" s="160"/>
      <c r="Z245" s="160"/>
      <c r="AA245" s="160">
        <f>W245</f>
        <v>5000</v>
      </c>
      <c r="AB245" s="159"/>
      <c r="AC245" s="158">
        <f t="shared" si="165"/>
        <v>0</v>
      </c>
      <c r="AD245" s="160"/>
      <c r="AE245" s="160"/>
      <c r="AF245" s="157"/>
      <c r="AG245" s="157"/>
      <c r="AH245" s="159"/>
      <c r="AI245" s="35">
        <f t="shared" si="166"/>
        <v>0</v>
      </c>
      <c r="AJ245" s="11">
        <f t="shared" si="167"/>
        <v>0</v>
      </c>
      <c r="AK245" s="11">
        <f t="shared" si="168"/>
        <v>0</v>
      </c>
      <c r="AL245" s="11">
        <f t="shared" si="169"/>
        <v>5000</v>
      </c>
      <c r="AM245" s="76">
        <f t="shared" si="170"/>
        <v>0</v>
      </c>
      <c r="AN245" s="51">
        <f t="shared" si="171"/>
        <v>5000</v>
      </c>
      <c r="AO245" s="36"/>
      <c r="AP245" s="9"/>
      <c r="AQ245" s="9"/>
      <c r="AR245" s="9"/>
      <c r="AS245" s="9"/>
      <c r="AT245" s="9"/>
      <c r="AU245" s="9"/>
      <c r="AV245" s="9">
        <f>AU245+AT245+AS245+AR245</f>
        <v>0</v>
      </c>
      <c r="AW245" s="10">
        <f>AP245-AQ245-AV245</f>
        <v>0</v>
      </c>
      <c r="AY245" s="11">
        <f t="shared" si="160"/>
        <v>0</v>
      </c>
    </row>
    <row r="246" spans="5:55" ht="60" customHeight="1" x14ac:dyDescent="0.2">
      <c r="E246" s="151">
        <f t="shared" si="164"/>
        <v>40306</v>
      </c>
      <c r="F246" s="170" t="s">
        <v>347</v>
      </c>
      <c r="G246" s="177"/>
      <c r="H246" s="178"/>
      <c r="I246" s="179"/>
      <c r="J246" s="180"/>
      <c r="K246" s="179"/>
      <c r="L246" s="180"/>
      <c r="M246" s="179">
        <v>100000</v>
      </c>
      <c r="N246" s="180">
        <v>100000</v>
      </c>
      <c r="O246" s="179">
        <v>20000</v>
      </c>
      <c r="P246" s="180">
        <v>20000</v>
      </c>
      <c r="Q246" s="165">
        <f t="shared" si="172"/>
        <v>-80000</v>
      </c>
      <c r="R246" s="166">
        <f t="shared" si="172"/>
        <v>-80000</v>
      </c>
      <c r="S246" s="156">
        <v>20000</v>
      </c>
      <c r="T246" s="160"/>
      <c r="U246" s="157">
        <f>S246</f>
        <v>20000</v>
      </c>
      <c r="V246" s="161">
        <v>20000</v>
      </c>
      <c r="W246" s="158">
        <v>20000</v>
      </c>
      <c r="X246" s="160"/>
      <c r="Y246" s="160"/>
      <c r="Z246" s="160"/>
      <c r="AA246" s="160">
        <f>W246</f>
        <v>20000</v>
      </c>
      <c r="AB246" s="159"/>
      <c r="AC246" s="158">
        <f t="shared" si="165"/>
        <v>0</v>
      </c>
      <c r="AD246" s="160"/>
      <c r="AE246" s="160"/>
      <c r="AF246" s="157"/>
      <c r="AG246" s="157"/>
      <c r="AH246" s="159"/>
      <c r="AI246" s="35">
        <f t="shared" si="166"/>
        <v>0</v>
      </c>
      <c r="AJ246" s="11">
        <f t="shared" si="167"/>
        <v>0</v>
      </c>
      <c r="AK246" s="11">
        <f t="shared" si="168"/>
        <v>0</v>
      </c>
      <c r="AL246" s="11">
        <f t="shared" si="169"/>
        <v>20000</v>
      </c>
      <c r="AM246" s="76">
        <f t="shared" si="170"/>
        <v>0</v>
      </c>
      <c r="AN246" s="51">
        <f t="shared" si="171"/>
        <v>20000</v>
      </c>
      <c r="AO246" s="36"/>
      <c r="AP246" s="9"/>
      <c r="AQ246" s="9"/>
      <c r="AR246" s="9"/>
      <c r="AS246" s="9"/>
      <c r="AT246" s="9"/>
      <c r="AU246" s="9"/>
      <c r="AV246" s="9"/>
      <c r="AW246" s="10"/>
      <c r="AY246" s="11">
        <f t="shared" si="160"/>
        <v>0</v>
      </c>
    </row>
    <row r="247" spans="5:55" ht="60" customHeight="1" x14ac:dyDescent="0.2">
      <c r="E247" s="151">
        <f t="shared" si="164"/>
        <v>40307</v>
      </c>
      <c r="F247" s="170" t="s">
        <v>454</v>
      </c>
      <c r="G247" s="177"/>
      <c r="H247" s="178"/>
      <c r="I247" s="179"/>
      <c r="J247" s="180"/>
      <c r="K247" s="179"/>
      <c r="L247" s="180"/>
      <c r="M247" s="179"/>
      <c r="N247" s="180"/>
      <c r="O247" s="179"/>
      <c r="P247" s="180"/>
      <c r="Q247" s="165"/>
      <c r="R247" s="166"/>
      <c r="S247" s="156"/>
      <c r="T247" s="160"/>
      <c r="U247" s="157"/>
      <c r="V247" s="161">
        <v>100000</v>
      </c>
      <c r="W247" s="158">
        <v>100000</v>
      </c>
      <c r="X247" s="160"/>
      <c r="Y247" s="160"/>
      <c r="Z247" s="160"/>
      <c r="AA247" s="160">
        <f>W247</f>
        <v>100000</v>
      </c>
      <c r="AB247" s="159"/>
      <c r="AC247" s="158">
        <f t="shared" si="165"/>
        <v>0</v>
      </c>
      <c r="AD247" s="160"/>
      <c r="AE247" s="160"/>
      <c r="AF247" s="157"/>
      <c r="AG247" s="157"/>
      <c r="AH247" s="159"/>
      <c r="AI247" s="35">
        <f t="shared" si="166"/>
        <v>0</v>
      </c>
      <c r="AJ247" s="11">
        <f t="shared" si="167"/>
        <v>0</v>
      </c>
      <c r="AK247" s="11">
        <f t="shared" si="168"/>
        <v>0</v>
      </c>
      <c r="AL247" s="11">
        <f t="shared" si="169"/>
        <v>100000</v>
      </c>
      <c r="AM247" s="76">
        <f t="shared" si="170"/>
        <v>0</v>
      </c>
      <c r="AN247" s="51">
        <f t="shared" si="171"/>
        <v>100000</v>
      </c>
      <c r="AO247" s="36"/>
      <c r="AP247" s="9"/>
      <c r="AQ247" s="9"/>
      <c r="AR247" s="9"/>
      <c r="AS247" s="9"/>
      <c r="AT247" s="9"/>
      <c r="AU247" s="9"/>
      <c r="AV247" s="9"/>
      <c r="AW247" s="10"/>
      <c r="AY247" s="11"/>
    </row>
    <row r="248" spans="5:55" ht="60" customHeight="1" x14ac:dyDescent="0.2">
      <c r="E248" s="151">
        <f t="shared" si="164"/>
        <v>40308</v>
      </c>
      <c r="F248" s="170" t="s">
        <v>376</v>
      </c>
      <c r="G248" s="177"/>
      <c r="H248" s="178"/>
      <c r="I248" s="179"/>
      <c r="J248" s="180"/>
      <c r="K248" s="179"/>
      <c r="L248" s="180"/>
      <c r="M248" s="179"/>
      <c r="N248" s="180"/>
      <c r="O248" s="179">
        <v>50000</v>
      </c>
      <c r="P248" s="180"/>
      <c r="Q248" s="165">
        <f t="shared" si="172"/>
        <v>50000</v>
      </c>
      <c r="R248" s="166">
        <f t="shared" si="172"/>
        <v>0</v>
      </c>
      <c r="S248" s="156"/>
      <c r="T248" s="160"/>
      <c r="U248" s="157"/>
      <c r="V248" s="161">
        <v>200000</v>
      </c>
      <c r="W248" s="158">
        <f>V248</f>
        <v>200000</v>
      </c>
      <c r="X248" s="160"/>
      <c r="Y248" s="160"/>
      <c r="Z248" s="160"/>
      <c r="AA248" s="160">
        <f>W248</f>
        <v>200000</v>
      </c>
      <c r="AB248" s="159"/>
      <c r="AC248" s="158"/>
      <c r="AD248" s="160"/>
      <c r="AE248" s="160"/>
      <c r="AF248" s="157"/>
      <c r="AG248" s="157">
        <f>AC248</f>
        <v>0</v>
      </c>
      <c r="AH248" s="159"/>
      <c r="AI248" s="35">
        <f t="shared" si="166"/>
        <v>0</v>
      </c>
      <c r="AJ248" s="11">
        <f t="shared" si="167"/>
        <v>0</v>
      </c>
      <c r="AK248" s="11">
        <f t="shared" si="168"/>
        <v>0</v>
      </c>
      <c r="AL248" s="11">
        <f t="shared" si="169"/>
        <v>200000</v>
      </c>
      <c r="AM248" s="76">
        <f t="shared" si="170"/>
        <v>0</v>
      </c>
      <c r="AN248" s="51">
        <f t="shared" si="171"/>
        <v>200000</v>
      </c>
      <c r="AO248" s="36"/>
      <c r="AP248" s="9"/>
      <c r="AQ248" s="9"/>
      <c r="AR248" s="9"/>
      <c r="AS248" s="9"/>
      <c r="AT248" s="9"/>
      <c r="AU248" s="9"/>
      <c r="AV248" s="9"/>
      <c r="AW248" s="10"/>
      <c r="AY248" s="11">
        <f>V248-W248-AC248</f>
        <v>0</v>
      </c>
    </row>
    <row r="249" spans="5:55" ht="60" customHeight="1" x14ac:dyDescent="0.2">
      <c r="E249" s="149"/>
      <c r="F249" s="127" t="s">
        <v>124</v>
      </c>
      <c r="G249" s="118">
        <f t="shared" ref="G249:AN249" si="173">SUM(G241:G248)</f>
        <v>595000</v>
      </c>
      <c r="H249" s="116">
        <f t="shared" si="173"/>
        <v>595000</v>
      </c>
      <c r="I249" s="115">
        <f t="shared" si="173"/>
        <v>610000</v>
      </c>
      <c r="J249" s="117">
        <f t="shared" si="173"/>
        <v>610000</v>
      </c>
      <c r="K249" s="115">
        <f t="shared" si="173"/>
        <v>1691000</v>
      </c>
      <c r="L249" s="117">
        <f t="shared" si="173"/>
        <v>1812000</v>
      </c>
      <c r="M249" s="115">
        <f t="shared" si="173"/>
        <v>1395000</v>
      </c>
      <c r="N249" s="117">
        <f t="shared" si="173"/>
        <v>1395000</v>
      </c>
      <c r="O249" s="115">
        <f t="shared" si="173"/>
        <v>1997000</v>
      </c>
      <c r="P249" s="117">
        <f t="shared" si="173"/>
        <v>1065000</v>
      </c>
      <c r="Q249" s="115">
        <f t="shared" si="173"/>
        <v>602000</v>
      </c>
      <c r="R249" s="117">
        <f t="shared" si="173"/>
        <v>-330000</v>
      </c>
      <c r="S249" s="118">
        <f t="shared" si="173"/>
        <v>199000</v>
      </c>
      <c r="T249" s="120">
        <f t="shared" si="173"/>
        <v>0</v>
      </c>
      <c r="U249" s="116">
        <f t="shared" si="173"/>
        <v>199000</v>
      </c>
      <c r="V249" s="119">
        <f t="shared" si="173"/>
        <v>2190000</v>
      </c>
      <c r="W249" s="115">
        <f t="shared" si="173"/>
        <v>1690000</v>
      </c>
      <c r="X249" s="120">
        <f t="shared" si="173"/>
        <v>300000</v>
      </c>
      <c r="Y249" s="120">
        <f t="shared" si="173"/>
        <v>0</v>
      </c>
      <c r="Z249" s="120">
        <f t="shared" si="173"/>
        <v>0</v>
      </c>
      <c r="AA249" s="120">
        <f t="shared" si="173"/>
        <v>1390000</v>
      </c>
      <c r="AB249" s="117">
        <f t="shared" si="173"/>
        <v>0</v>
      </c>
      <c r="AC249" s="115">
        <f t="shared" si="173"/>
        <v>500000</v>
      </c>
      <c r="AD249" s="120">
        <f t="shared" si="173"/>
        <v>0</v>
      </c>
      <c r="AE249" s="120">
        <f t="shared" si="173"/>
        <v>0</v>
      </c>
      <c r="AF249" s="116">
        <f t="shared" si="173"/>
        <v>0</v>
      </c>
      <c r="AG249" s="116">
        <f t="shared" si="173"/>
        <v>500000</v>
      </c>
      <c r="AH249" s="117">
        <f t="shared" si="173"/>
        <v>0</v>
      </c>
      <c r="AI249" s="47">
        <f t="shared" si="173"/>
        <v>300000</v>
      </c>
      <c r="AJ249" s="10">
        <f t="shared" si="173"/>
        <v>0</v>
      </c>
      <c r="AK249" s="10">
        <f t="shared" si="173"/>
        <v>0</v>
      </c>
      <c r="AL249" s="10">
        <f t="shared" si="173"/>
        <v>1890000</v>
      </c>
      <c r="AM249" s="48">
        <f t="shared" si="173"/>
        <v>0</v>
      </c>
      <c r="AN249" s="52">
        <f t="shared" si="173"/>
        <v>1890000</v>
      </c>
      <c r="AO249" s="39">
        <f t="shared" ref="AO249:AV249" si="174">SUM(AO241:AO246)</f>
        <v>0</v>
      </c>
      <c r="AP249" s="10">
        <f t="shared" si="174"/>
        <v>0</v>
      </c>
      <c r="AQ249" s="10">
        <f t="shared" si="174"/>
        <v>0</v>
      </c>
      <c r="AR249" s="10">
        <f t="shared" si="174"/>
        <v>0</v>
      </c>
      <c r="AS249" s="10">
        <f t="shared" si="174"/>
        <v>0</v>
      </c>
      <c r="AT249" s="10">
        <f t="shared" si="174"/>
        <v>0</v>
      </c>
      <c r="AU249" s="10">
        <f t="shared" si="174"/>
        <v>0</v>
      </c>
      <c r="AV249" s="10">
        <f t="shared" si="174"/>
        <v>0</v>
      </c>
      <c r="AW249" s="10">
        <f t="shared" si="128"/>
        <v>0</v>
      </c>
      <c r="AY249" s="11">
        <f>V249-W249-AC249</f>
        <v>0</v>
      </c>
      <c r="BC249" s="61"/>
    </row>
    <row r="250" spans="5:55" ht="60" customHeight="1" x14ac:dyDescent="0.2">
      <c r="E250" s="151"/>
      <c r="F250" s="155" t="s">
        <v>125</v>
      </c>
      <c r="G250" s="173"/>
      <c r="H250" s="174"/>
      <c r="I250" s="175"/>
      <c r="J250" s="176"/>
      <c r="K250" s="175"/>
      <c r="L250" s="176"/>
      <c r="M250" s="175"/>
      <c r="N250" s="176"/>
      <c r="O250" s="175"/>
      <c r="P250" s="176"/>
      <c r="Q250" s="175"/>
      <c r="R250" s="176"/>
      <c r="S250" s="156"/>
      <c r="T250" s="160"/>
      <c r="U250" s="157"/>
      <c r="V250" s="161"/>
      <c r="W250" s="158"/>
      <c r="X250" s="160"/>
      <c r="Y250" s="160"/>
      <c r="Z250" s="160"/>
      <c r="AA250" s="160"/>
      <c r="AB250" s="159"/>
      <c r="AC250" s="158"/>
      <c r="AD250" s="160"/>
      <c r="AE250" s="160"/>
      <c r="AF250" s="157"/>
      <c r="AG250" s="157"/>
      <c r="AH250" s="159"/>
      <c r="AI250" s="45"/>
      <c r="AJ250" s="9"/>
      <c r="AK250" s="9"/>
      <c r="AL250" s="9"/>
      <c r="AM250" s="46"/>
      <c r="AN250" s="50"/>
      <c r="AO250" s="36"/>
      <c r="AP250" s="9"/>
      <c r="AQ250" s="9"/>
      <c r="AR250" s="9"/>
      <c r="AS250" s="9"/>
      <c r="AT250" s="9"/>
      <c r="AU250" s="9"/>
      <c r="AV250" s="9"/>
      <c r="AW250" s="10">
        <f t="shared" si="128"/>
        <v>0</v>
      </c>
      <c r="AY250" s="11">
        <f>V250-W250-AC250</f>
        <v>0</v>
      </c>
    </row>
    <row r="251" spans="5:55" ht="60" customHeight="1" x14ac:dyDescent="0.2">
      <c r="E251" s="151">
        <v>40400</v>
      </c>
      <c r="F251" s="155" t="s">
        <v>349</v>
      </c>
      <c r="G251" s="173"/>
      <c r="H251" s="174"/>
      <c r="I251" s="175"/>
      <c r="J251" s="176"/>
      <c r="K251" s="175"/>
      <c r="L251" s="176"/>
      <c r="M251" s="175"/>
      <c r="N251" s="176"/>
      <c r="O251" s="175"/>
      <c r="P251" s="176"/>
      <c r="Q251" s="175"/>
      <c r="R251" s="176"/>
      <c r="S251" s="156"/>
      <c r="T251" s="160"/>
      <c r="U251" s="157"/>
      <c r="V251" s="161"/>
      <c r="W251" s="158"/>
      <c r="X251" s="160"/>
      <c r="Y251" s="160"/>
      <c r="Z251" s="160"/>
      <c r="AA251" s="160"/>
      <c r="AB251" s="159"/>
      <c r="AC251" s="158"/>
      <c r="AD251" s="160"/>
      <c r="AE251" s="160"/>
      <c r="AF251" s="157"/>
      <c r="AG251" s="157"/>
      <c r="AH251" s="159"/>
      <c r="AI251" s="45"/>
      <c r="AJ251" s="9"/>
      <c r="AK251" s="9"/>
      <c r="AL251" s="9"/>
      <c r="AM251" s="46"/>
      <c r="AN251" s="50"/>
      <c r="AO251" s="36"/>
      <c r="AP251" s="9"/>
      <c r="AQ251" s="9"/>
      <c r="AR251" s="9"/>
      <c r="AS251" s="9"/>
      <c r="AT251" s="9"/>
      <c r="AU251" s="9"/>
      <c r="AV251" s="9"/>
      <c r="AW251" s="10">
        <f t="shared" si="128"/>
        <v>0</v>
      </c>
      <c r="AY251" s="11">
        <f>V251-W251-AC251</f>
        <v>0</v>
      </c>
    </row>
    <row r="252" spans="5:55" ht="60" customHeight="1" x14ac:dyDescent="0.2">
      <c r="E252" s="151">
        <f>E251+1</f>
        <v>40401</v>
      </c>
      <c r="F252" s="170" t="s">
        <v>348</v>
      </c>
      <c r="G252" s="156"/>
      <c r="H252" s="157"/>
      <c r="I252" s="158"/>
      <c r="J252" s="159"/>
      <c r="K252" s="158"/>
      <c r="L252" s="159"/>
      <c r="M252" s="158"/>
      <c r="N252" s="159"/>
      <c r="O252" s="158"/>
      <c r="P252" s="159"/>
      <c r="Q252" s="165">
        <f>O252-M252</f>
        <v>0</v>
      </c>
      <c r="R252" s="166">
        <f>P252-N252</f>
        <v>0</v>
      </c>
      <c r="S252" s="156"/>
      <c r="T252" s="160"/>
      <c r="U252" s="157"/>
      <c r="V252" s="161">
        <v>1000000</v>
      </c>
      <c r="W252" s="158">
        <v>0</v>
      </c>
      <c r="X252" s="160"/>
      <c r="Y252" s="160">
        <f>W252</f>
        <v>0</v>
      </c>
      <c r="Z252" s="160"/>
      <c r="AA252" s="160"/>
      <c r="AB252" s="159"/>
      <c r="AC252" s="158">
        <f>V252-W252</f>
        <v>1000000</v>
      </c>
      <c r="AD252" s="160"/>
      <c r="AE252" s="160"/>
      <c r="AF252" s="157"/>
      <c r="AG252" s="157">
        <f>AC252</f>
        <v>1000000</v>
      </c>
      <c r="AH252" s="159"/>
      <c r="AI252" s="35">
        <f t="shared" ref="AI252:AM255" si="175">AD252+X252</f>
        <v>0</v>
      </c>
      <c r="AJ252" s="11">
        <f t="shared" si="175"/>
        <v>0</v>
      </c>
      <c r="AK252" s="11">
        <f t="shared" si="175"/>
        <v>0</v>
      </c>
      <c r="AL252" s="11">
        <f t="shared" si="175"/>
        <v>1000000</v>
      </c>
      <c r="AM252" s="76">
        <f t="shared" si="175"/>
        <v>0</v>
      </c>
      <c r="AN252" s="51">
        <f t="shared" ref="AN252:AN277" si="176">SUM(AJ252:AM252)</f>
        <v>1000000</v>
      </c>
      <c r="AO252" s="36"/>
      <c r="AP252" s="9"/>
      <c r="AQ252" s="9"/>
      <c r="AR252" s="9"/>
      <c r="AS252" s="9"/>
      <c r="AT252" s="9"/>
      <c r="AU252" s="9"/>
      <c r="AV252" s="9"/>
      <c r="AW252" s="10"/>
      <c r="AY252" s="11">
        <f>V252-W252-AC252</f>
        <v>0</v>
      </c>
    </row>
    <row r="253" spans="5:55" ht="60" customHeight="1" x14ac:dyDescent="0.2">
      <c r="E253" s="151">
        <f>E252+1</f>
        <v>40402</v>
      </c>
      <c r="F253" s="170" t="s">
        <v>455</v>
      </c>
      <c r="G253" s="156"/>
      <c r="H253" s="157"/>
      <c r="I253" s="158"/>
      <c r="J253" s="159"/>
      <c r="K253" s="158"/>
      <c r="L253" s="159"/>
      <c r="M253" s="158"/>
      <c r="N253" s="159"/>
      <c r="O253" s="158"/>
      <c r="P253" s="159"/>
      <c r="Q253" s="165"/>
      <c r="R253" s="166"/>
      <c r="S253" s="156"/>
      <c r="T253" s="160"/>
      <c r="U253" s="157"/>
      <c r="V253" s="161">
        <v>50000</v>
      </c>
      <c r="W253" s="158">
        <v>0</v>
      </c>
      <c r="X253" s="160"/>
      <c r="Y253" s="160">
        <f>W253</f>
        <v>0</v>
      </c>
      <c r="Z253" s="160"/>
      <c r="AA253" s="160"/>
      <c r="AB253" s="159"/>
      <c r="AC253" s="158">
        <f>V253-W253</f>
        <v>50000</v>
      </c>
      <c r="AD253" s="160"/>
      <c r="AE253" s="160"/>
      <c r="AF253" s="157"/>
      <c r="AG253" s="157">
        <f>AC253</f>
        <v>50000</v>
      </c>
      <c r="AH253" s="159"/>
      <c r="AI253" s="35">
        <f t="shared" si="175"/>
        <v>0</v>
      </c>
      <c r="AJ253" s="11">
        <f t="shared" si="175"/>
        <v>0</v>
      </c>
      <c r="AK253" s="11">
        <f t="shared" si="175"/>
        <v>0</v>
      </c>
      <c r="AL253" s="11">
        <f t="shared" si="175"/>
        <v>50000</v>
      </c>
      <c r="AM253" s="76">
        <f t="shared" si="175"/>
        <v>0</v>
      </c>
      <c r="AN253" s="51">
        <f t="shared" si="176"/>
        <v>50000</v>
      </c>
      <c r="AO253" s="36"/>
      <c r="AP253" s="9"/>
      <c r="AQ253" s="9"/>
      <c r="AR253" s="9"/>
      <c r="AS253" s="9"/>
      <c r="AT253" s="9"/>
      <c r="AU253" s="9"/>
      <c r="AV253" s="9"/>
      <c r="AW253" s="10"/>
      <c r="AY253" s="11"/>
    </row>
    <row r="254" spans="5:55" ht="60" customHeight="1" x14ac:dyDescent="0.2">
      <c r="E254" s="151">
        <f>E253+1</f>
        <v>40403</v>
      </c>
      <c r="F254" s="170" t="s">
        <v>456</v>
      </c>
      <c r="G254" s="156"/>
      <c r="H254" s="157"/>
      <c r="I254" s="158"/>
      <c r="J254" s="159"/>
      <c r="K254" s="158"/>
      <c r="L254" s="159"/>
      <c r="M254" s="158"/>
      <c r="N254" s="159"/>
      <c r="O254" s="158"/>
      <c r="P254" s="159"/>
      <c r="Q254" s="165"/>
      <c r="R254" s="166"/>
      <c r="S254" s="156"/>
      <c r="T254" s="160"/>
      <c r="U254" s="157"/>
      <c r="V254" s="161">
        <v>1400000</v>
      </c>
      <c r="W254" s="158">
        <v>0</v>
      </c>
      <c r="X254" s="160"/>
      <c r="Y254" s="160">
        <f>W254</f>
        <v>0</v>
      </c>
      <c r="Z254" s="160"/>
      <c r="AA254" s="160"/>
      <c r="AB254" s="159"/>
      <c r="AC254" s="158">
        <f>V254-W254</f>
        <v>1400000</v>
      </c>
      <c r="AD254" s="160"/>
      <c r="AE254" s="160"/>
      <c r="AF254" s="157"/>
      <c r="AG254" s="157">
        <f>AC254</f>
        <v>1400000</v>
      </c>
      <c r="AH254" s="159"/>
      <c r="AI254" s="35">
        <f t="shared" si="175"/>
        <v>0</v>
      </c>
      <c r="AJ254" s="11">
        <f t="shared" si="175"/>
        <v>0</v>
      </c>
      <c r="AK254" s="11">
        <f t="shared" si="175"/>
        <v>0</v>
      </c>
      <c r="AL254" s="11">
        <f t="shared" si="175"/>
        <v>1400000</v>
      </c>
      <c r="AM254" s="76">
        <f t="shared" si="175"/>
        <v>0</v>
      </c>
      <c r="AN254" s="51">
        <f t="shared" si="176"/>
        <v>1400000</v>
      </c>
      <c r="AO254" s="36"/>
      <c r="AP254" s="9"/>
      <c r="AQ254" s="9"/>
      <c r="AR254" s="9"/>
      <c r="AS254" s="9"/>
      <c r="AT254" s="9"/>
      <c r="AU254" s="9"/>
      <c r="AV254" s="9"/>
      <c r="AW254" s="10"/>
      <c r="AY254" s="11"/>
    </row>
    <row r="255" spans="5:55" ht="60" customHeight="1" x14ac:dyDescent="0.2">
      <c r="E255" s="151">
        <f>E254+1</f>
        <v>40404</v>
      </c>
      <c r="F255" s="170" t="s">
        <v>457</v>
      </c>
      <c r="G255" s="156"/>
      <c r="H255" s="157"/>
      <c r="I255" s="158"/>
      <c r="J255" s="159"/>
      <c r="K255" s="158"/>
      <c r="L255" s="159"/>
      <c r="M255" s="158"/>
      <c r="N255" s="159"/>
      <c r="O255" s="158"/>
      <c r="P255" s="159"/>
      <c r="Q255" s="165"/>
      <c r="R255" s="166"/>
      <c r="S255" s="156"/>
      <c r="T255" s="160"/>
      <c r="U255" s="157"/>
      <c r="V255" s="161">
        <v>1800000</v>
      </c>
      <c r="W255" s="158">
        <v>0</v>
      </c>
      <c r="X255" s="160"/>
      <c r="Y255" s="160">
        <f>W255</f>
        <v>0</v>
      </c>
      <c r="Z255" s="160"/>
      <c r="AA255" s="160"/>
      <c r="AB255" s="159"/>
      <c r="AC255" s="158">
        <f>V255-W255</f>
        <v>1800000</v>
      </c>
      <c r="AD255" s="160"/>
      <c r="AE255" s="160"/>
      <c r="AF255" s="157"/>
      <c r="AG255" s="157">
        <f>AC255</f>
        <v>1800000</v>
      </c>
      <c r="AH255" s="159"/>
      <c r="AI255" s="35">
        <f t="shared" si="175"/>
        <v>0</v>
      </c>
      <c r="AJ255" s="11">
        <f t="shared" si="175"/>
        <v>0</v>
      </c>
      <c r="AK255" s="11">
        <f t="shared" si="175"/>
        <v>0</v>
      </c>
      <c r="AL255" s="11">
        <f t="shared" si="175"/>
        <v>1800000</v>
      </c>
      <c r="AM255" s="76">
        <f t="shared" si="175"/>
        <v>0</v>
      </c>
      <c r="AN255" s="51">
        <f t="shared" si="176"/>
        <v>1800000</v>
      </c>
      <c r="AO255" s="36"/>
      <c r="AP255" s="9"/>
      <c r="AQ255" s="9"/>
      <c r="AR255" s="9"/>
      <c r="AS255" s="9"/>
      <c r="AT255" s="9"/>
      <c r="AU255" s="9"/>
      <c r="AV255" s="9"/>
      <c r="AW255" s="10"/>
      <c r="AY255" s="11"/>
    </row>
    <row r="256" spans="5:55" ht="60" customHeight="1" x14ac:dyDescent="0.2">
      <c r="E256" s="151"/>
      <c r="F256" s="127" t="s">
        <v>351</v>
      </c>
      <c r="G256" s="118">
        <f>SUM(G252)</f>
        <v>0</v>
      </c>
      <c r="H256" s="116">
        <f t="shared" ref="H256:U256" si="177">SUM(H252)</f>
        <v>0</v>
      </c>
      <c r="I256" s="115">
        <f t="shared" si="177"/>
        <v>0</v>
      </c>
      <c r="J256" s="117">
        <f t="shared" si="177"/>
        <v>0</v>
      </c>
      <c r="K256" s="115">
        <f t="shared" si="177"/>
        <v>0</v>
      </c>
      <c r="L256" s="117">
        <f t="shared" si="177"/>
        <v>0</v>
      </c>
      <c r="M256" s="115">
        <f t="shared" si="177"/>
        <v>0</v>
      </c>
      <c r="N256" s="117">
        <f t="shared" si="177"/>
        <v>0</v>
      </c>
      <c r="O256" s="115">
        <f t="shared" si="177"/>
        <v>0</v>
      </c>
      <c r="P256" s="117">
        <f t="shared" si="177"/>
        <v>0</v>
      </c>
      <c r="Q256" s="115">
        <f t="shared" si="177"/>
        <v>0</v>
      </c>
      <c r="R256" s="117">
        <f t="shared" si="177"/>
        <v>0</v>
      </c>
      <c r="S256" s="118">
        <f t="shared" si="177"/>
        <v>0</v>
      </c>
      <c r="T256" s="120">
        <f t="shared" si="177"/>
        <v>0</v>
      </c>
      <c r="U256" s="116">
        <f t="shared" si="177"/>
        <v>0</v>
      </c>
      <c r="V256" s="119">
        <f>SUM(V252:V255)</f>
        <v>4250000</v>
      </c>
      <c r="W256" s="115">
        <f t="shared" ref="W256:AM256" si="178">SUM(W252:W255)</f>
        <v>0</v>
      </c>
      <c r="X256" s="120">
        <f t="shared" si="178"/>
        <v>0</v>
      </c>
      <c r="Y256" s="120">
        <f t="shared" si="178"/>
        <v>0</v>
      </c>
      <c r="Z256" s="120">
        <f t="shared" si="178"/>
        <v>0</v>
      </c>
      <c r="AA256" s="120">
        <f t="shared" si="178"/>
        <v>0</v>
      </c>
      <c r="AB256" s="117">
        <f t="shared" si="178"/>
        <v>0</v>
      </c>
      <c r="AC256" s="115">
        <f t="shared" si="178"/>
        <v>4250000</v>
      </c>
      <c r="AD256" s="120">
        <f t="shared" si="178"/>
        <v>0</v>
      </c>
      <c r="AE256" s="120">
        <f t="shared" si="178"/>
        <v>0</v>
      </c>
      <c r="AF256" s="116">
        <f t="shared" si="178"/>
        <v>0</v>
      </c>
      <c r="AG256" s="116">
        <f t="shared" si="178"/>
        <v>4250000</v>
      </c>
      <c r="AH256" s="117">
        <f t="shared" si="178"/>
        <v>0</v>
      </c>
      <c r="AI256" s="47">
        <f t="shared" si="178"/>
        <v>0</v>
      </c>
      <c r="AJ256" s="10">
        <f t="shared" si="178"/>
        <v>0</v>
      </c>
      <c r="AK256" s="10">
        <f t="shared" si="178"/>
        <v>0</v>
      </c>
      <c r="AL256" s="10">
        <f t="shared" si="178"/>
        <v>4250000</v>
      </c>
      <c r="AM256" s="48">
        <f t="shared" si="178"/>
        <v>0</v>
      </c>
      <c r="AN256" s="52">
        <f>SUM(AN252:AN255)</f>
        <v>4250000</v>
      </c>
      <c r="AO256" s="36"/>
      <c r="AP256" s="9"/>
      <c r="AQ256" s="9"/>
      <c r="AR256" s="9"/>
      <c r="AS256" s="9"/>
      <c r="AT256" s="9"/>
      <c r="AU256" s="9"/>
      <c r="AV256" s="9"/>
      <c r="AW256" s="10"/>
      <c r="AY256" s="11">
        <f t="shared" ref="AY256:AY301" si="179">V256-W256-AC256</f>
        <v>0</v>
      </c>
    </row>
    <row r="257" spans="5:51" ht="60" customHeight="1" x14ac:dyDescent="0.2">
      <c r="E257" s="151">
        <v>40500</v>
      </c>
      <c r="F257" s="155" t="s">
        <v>350</v>
      </c>
      <c r="G257" s="156"/>
      <c r="H257" s="157"/>
      <c r="I257" s="158"/>
      <c r="J257" s="159"/>
      <c r="K257" s="158"/>
      <c r="L257" s="159"/>
      <c r="M257" s="158"/>
      <c r="N257" s="159"/>
      <c r="O257" s="158"/>
      <c r="P257" s="159"/>
      <c r="Q257" s="158"/>
      <c r="R257" s="159"/>
      <c r="S257" s="156"/>
      <c r="T257" s="160"/>
      <c r="U257" s="157"/>
      <c r="V257" s="161"/>
      <c r="W257" s="158"/>
      <c r="X257" s="160"/>
      <c r="Y257" s="160"/>
      <c r="Z257" s="160"/>
      <c r="AA257" s="160"/>
      <c r="AB257" s="159"/>
      <c r="AC257" s="158"/>
      <c r="AD257" s="160"/>
      <c r="AE257" s="160"/>
      <c r="AF257" s="157"/>
      <c r="AG257" s="157"/>
      <c r="AH257" s="159"/>
      <c r="AI257" s="45"/>
      <c r="AJ257" s="9"/>
      <c r="AK257" s="9"/>
      <c r="AL257" s="15"/>
      <c r="AM257" s="46"/>
      <c r="AN257" s="51"/>
      <c r="AO257" s="36"/>
      <c r="AP257" s="9"/>
      <c r="AQ257" s="9"/>
      <c r="AR257" s="9"/>
      <c r="AS257" s="9"/>
      <c r="AT257" s="9"/>
      <c r="AU257" s="9"/>
      <c r="AV257" s="9"/>
      <c r="AW257" s="10"/>
      <c r="AY257" s="11">
        <f t="shared" si="179"/>
        <v>0</v>
      </c>
    </row>
    <row r="258" spans="5:51" ht="60" customHeight="1" x14ac:dyDescent="0.2">
      <c r="E258" s="151">
        <f>E257+1</f>
        <v>40501</v>
      </c>
      <c r="F258" s="170" t="s">
        <v>279</v>
      </c>
      <c r="G258" s="156">
        <v>200000</v>
      </c>
      <c r="H258" s="157">
        <f>G258</f>
        <v>200000</v>
      </c>
      <c r="I258" s="158">
        <v>1050000</v>
      </c>
      <c r="J258" s="159">
        <f t="shared" ref="J258:J264" si="180">I258</f>
        <v>1050000</v>
      </c>
      <c r="K258" s="158">
        <v>1500000</v>
      </c>
      <c r="L258" s="159">
        <v>1500000</v>
      </c>
      <c r="M258" s="158">
        <v>1596843</v>
      </c>
      <c r="N258" s="159">
        <v>1596843</v>
      </c>
      <c r="O258" s="158">
        <v>1670000</v>
      </c>
      <c r="P258" s="159">
        <v>1670000</v>
      </c>
      <c r="Q258" s="165">
        <f>O258-M258</f>
        <v>73157</v>
      </c>
      <c r="R258" s="166">
        <f>P258-N258</f>
        <v>73157</v>
      </c>
      <c r="S258" s="156">
        <v>640000</v>
      </c>
      <c r="T258" s="160"/>
      <c r="U258" s="157">
        <f>S258</f>
        <v>640000</v>
      </c>
      <c r="V258" s="161">
        <v>2740000</v>
      </c>
      <c r="W258" s="158">
        <v>2000000</v>
      </c>
      <c r="X258" s="160"/>
      <c r="Y258" s="160">
        <f>W258</f>
        <v>2000000</v>
      </c>
      <c r="Z258" s="160"/>
      <c r="AA258" s="160"/>
      <c r="AB258" s="159"/>
      <c r="AC258" s="158">
        <f t="shared" ref="AC258:AC277" si="181">V258-W258</f>
        <v>740000</v>
      </c>
      <c r="AD258" s="160"/>
      <c r="AE258" s="160">
        <f>AC258</f>
        <v>740000</v>
      </c>
      <c r="AF258" s="157"/>
      <c r="AG258" s="157"/>
      <c r="AH258" s="159"/>
      <c r="AI258" s="35">
        <f t="shared" ref="AI258:AI277" si="182">AD258+X258</f>
        <v>0</v>
      </c>
      <c r="AJ258" s="11">
        <f t="shared" ref="AJ258:AJ277" si="183">AE258+Y258</f>
        <v>2740000</v>
      </c>
      <c r="AK258" s="11">
        <f t="shared" ref="AK258:AK277" si="184">AF258+Z258</f>
        <v>0</v>
      </c>
      <c r="AL258" s="11">
        <f t="shared" ref="AL258:AL277" si="185">AG258+AA258</f>
        <v>0</v>
      </c>
      <c r="AM258" s="76">
        <f t="shared" ref="AM258:AM277" si="186">AH258+AB258</f>
        <v>0</v>
      </c>
      <c r="AN258" s="51">
        <f t="shared" si="176"/>
        <v>2740000</v>
      </c>
      <c r="AO258" s="36"/>
      <c r="AP258" s="9"/>
      <c r="AQ258" s="9"/>
      <c r="AR258" s="9"/>
      <c r="AS258" s="9"/>
      <c r="AT258" s="9"/>
      <c r="AU258" s="9"/>
      <c r="AV258" s="9">
        <f t="shared" ref="AV258:AV277" si="187">AU258+AT258+AS258+AR258</f>
        <v>0</v>
      </c>
      <c r="AW258" s="10">
        <f t="shared" ref="AW258:AW277" si="188">AP258-AQ258-AV258</f>
        <v>0</v>
      </c>
      <c r="AY258" s="11">
        <f t="shared" si="179"/>
        <v>0</v>
      </c>
    </row>
    <row r="259" spans="5:51" ht="60" customHeight="1" x14ac:dyDescent="0.2">
      <c r="E259" s="151">
        <f t="shared" ref="E259:E277" si="189">E258+1</f>
        <v>40502</v>
      </c>
      <c r="F259" s="170" t="s">
        <v>126</v>
      </c>
      <c r="G259" s="156">
        <v>300000</v>
      </c>
      <c r="H259" s="157">
        <v>214000</v>
      </c>
      <c r="I259" s="158">
        <v>250000</v>
      </c>
      <c r="J259" s="159">
        <f t="shared" si="180"/>
        <v>250000</v>
      </c>
      <c r="K259" s="158">
        <v>250000</v>
      </c>
      <c r="L259" s="159">
        <v>250000</v>
      </c>
      <c r="M259" s="158">
        <v>250000</v>
      </c>
      <c r="N259" s="159">
        <v>250000</v>
      </c>
      <c r="O259" s="158">
        <v>500000</v>
      </c>
      <c r="P259" s="159">
        <v>248000</v>
      </c>
      <c r="Q259" s="165">
        <f t="shared" ref="Q259:R277" si="190">O259-M259</f>
        <v>250000</v>
      </c>
      <c r="R259" s="166">
        <f t="shared" si="190"/>
        <v>-2000</v>
      </c>
      <c r="S259" s="156">
        <v>3000</v>
      </c>
      <c r="T259" s="160"/>
      <c r="U259" s="157">
        <f>S259</f>
        <v>3000</v>
      </c>
      <c r="V259" s="161">
        <v>500000</v>
      </c>
      <c r="W259" s="158">
        <v>250000</v>
      </c>
      <c r="X259" s="160"/>
      <c r="Y259" s="160">
        <f>W259</f>
        <v>250000</v>
      </c>
      <c r="Z259" s="160"/>
      <c r="AA259" s="160"/>
      <c r="AB259" s="159"/>
      <c r="AC259" s="158">
        <f t="shared" si="181"/>
        <v>250000</v>
      </c>
      <c r="AD259" s="160"/>
      <c r="AE259" s="160">
        <f>AC259</f>
        <v>250000</v>
      </c>
      <c r="AF259" s="157"/>
      <c r="AG259" s="157"/>
      <c r="AH259" s="159"/>
      <c r="AI259" s="35">
        <f t="shared" si="182"/>
        <v>0</v>
      </c>
      <c r="AJ259" s="11">
        <f t="shared" si="183"/>
        <v>500000</v>
      </c>
      <c r="AK259" s="11">
        <f t="shared" si="184"/>
        <v>0</v>
      </c>
      <c r="AL259" s="11">
        <f t="shared" si="185"/>
        <v>0</v>
      </c>
      <c r="AM259" s="76">
        <f t="shared" si="186"/>
        <v>0</v>
      </c>
      <c r="AN259" s="51">
        <f t="shared" si="176"/>
        <v>500000</v>
      </c>
      <c r="AO259" s="36"/>
      <c r="AP259" s="9"/>
      <c r="AQ259" s="9"/>
      <c r="AR259" s="9"/>
      <c r="AS259" s="9"/>
      <c r="AT259" s="9"/>
      <c r="AU259" s="9"/>
      <c r="AV259" s="9">
        <f t="shared" si="187"/>
        <v>0</v>
      </c>
      <c r="AW259" s="10">
        <f t="shared" si="188"/>
        <v>0</v>
      </c>
      <c r="AY259" s="11">
        <f t="shared" si="179"/>
        <v>0</v>
      </c>
    </row>
    <row r="260" spans="5:51" ht="60" customHeight="1" x14ac:dyDescent="0.2">
      <c r="E260" s="151">
        <f t="shared" si="189"/>
        <v>40503</v>
      </c>
      <c r="F260" s="170" t="s">
        <v>127</v>
      </c>
      <c r="G260" s="156">
        <v>600000</v>
      </c>
      <c r="H260" s="157">
        <f>G260</f>
        <v>600000</v>
      </c>
      <c r="I260" s="158">
        <v>600000</v>
      </c>
      <c r="J260" s="159">
        <f t="shared" si="180"/>
        <v>600000</v>
      </c>
      <c r="K260" s="158">
        <v>2505000</v>
      </c>
      <c r="L260" s="159">
        <v>947167</v>
      </c>
      <c r="M260" s="158">
        <v>1201000</v>
      </c>
      <c r="N260" s="159">
        <f>40068+600000+560000</f>
        <v>1200068</v>
      </c>
      <c r="O260" s="158">
        <v>2900000</v>
      </c>
      <c r="P260" s="159">
        <v>2900000</v>
      </c>
      <c r="Q260" s="165">
        <f t="shared" si="190"/>
        <v>1699000</v>
      </c>
      <c r="R260" s="166">
        <f t="shared" si="190"/>
        <v>1699932</v>
      </c>
      <c r="S260" s="156">
        <v>150000</v>
      </c>
      <c r="T260" s="160"/>
      <c r="U260" s="157">
        <f>S260</f>
        <v>150000</v>
      </c>
      <c r="V260" s="161">
        <v>4003000</v>
      </c>
      <c r="W260" s="158">
        <v>1200000</v>
      </c>
      <c r="X260" s="160"/>
      <c r="Y260" s="160"/>
      <c r="Z260" s="160"/>
      <c r="AA260" s="160">
        <f>W260</f>
        <v>1200000</v>
      </c>
      <c r="AB260" s="159"/>
      <c r="AC260" s="158">
        <f t="shared" si="181"/>
        <v>2803000</v>
      </c>
      <c r="AD260" s="160"/>
      <c r="AE260" s="160"/>
      <c r="AF260" s="157"/>
      <c r="AG260" s="157">
        <f>AC260</f>
        <v>2803000</v>
      </c>
      <c r="AH260" s="159"/>
      <c r="AI260" s="35">
        <f t="shared" si="182"/>
        <v>0</v>
      </c>
      <c r="AJ260" s="11">
        <f t="shared" si="183"/>
        <v>0</v>
      </c>
      <c r="AK260" s="11">
        <f t="shared" si="184"/>
        <v>0</v>
      </c>
      <c r="AL260" s="11">
        <f t="shared" si="185"/>
        <v>4003000</v>
      </c>
      <c r="AM260" s="76">
        <f t="shared" si="186"/>
        <v>0</v>
      </c>
      <c r="AN260" s="51">
        <f t="shared" si="176"/>
        <v>4003000</v>
      </c>
      <c r="AO260" s="36"/>
      <c r="AP260" s="9"/>
      <c r="AQ260" s="9"/>
      <c r="AR260" s="9"/>
      <c r="AS260" s="9"/>
      <c r="AT260" s="9"/>
      <c r="AU260" s="9"/>
      <c r="AV260" s="9">
        <f t="shared" si="187"/>
        <v>0</v>
      </c>
      <c r="AW260" s="10">
        <f t="shared" si="188"/>
        <v>0</v>
      </c>
      <c r="AY260" s="11">
        <f t="shared" si="179"/>
        <v>0</v>
      </c>
    </row>
    <row r="261" spans="5:51" ht="60" customHeight="1" x14ac:dyDescent="0.2">
      <c r="E261" s="151">
        <f t="shared" si="189"/>
        <v>40504</v>
      </c>
      <c r="F261" s="170" t="s">
        <v>128</v>
      </c>
      <c r="G261" s="156">
        <v>2000000</v>
      </c>
      <c r="H261" s="157">
        <f t="shared" ref="H261:H274" si="191">G261</f>
        <v>2000000</v>
      </c>
      <c r="I261" s="158">
        <v>5550000</v>
      </c>
      <c r="J261" s="159">
        <f t="shared" si="180"/>
        <v>5550000</v>
      </c>
      <c r="K261" s="158">
        <v>5500000</v>
      </c>
      <c r="L261" s="159">
        <v>5500000</v>
      </c>
      <c r="M261" s="158">
        <v>7750000</v>
      </c>
      <c r="N261" s="159">
        <v>7750000</v>
      </c>
      <c r="O261" s="158">
        <v>13857000</v>
      </c>
      <c r="P261" s="159">
        <v>13856600</v>
      </c>
      <c r="Q261" s="165">
        <f t="shared" si="190"/>
        <v>6107000</v>
      </c>
      <c r="R261" s="166">
        <f t="shared" si="190"/>
        <v>6106600</v>
      </c>
      <c r="S261" s="156">
        <v>880000</v>
      </c>
      <c r="T261" s="160"/>
      <c r="U261" s="157">
        <f>S261</f>
        <v>880000</v>
      </c>
      <c r="V261" s="161">
        <v>10000000</v>
      </c>
      <c r="W261" s="158">
        <v>3000000</v>
      </c>
      <c r="X261" s="160"/>
      <c r="Y261" s="160"/>
      <c r="Z261" s="160">
        <f>W261</f>
        <v>3000000</v>
      </c>
      <c r="AA261" s="160"/>
      <c r="AB261" s="159"/>
      <c r="AC261" s="158">
        <f t="shared" si="181"/>
        <v>7000000</v>
      </c>
      <c r="AD261" s="160"/>
      <c r="AE261" s="160"/>
      <c r="AF261" s="157">
        <f>AC261</f>
        <v>7000000</v>
      </c>
      <c r="AG261" s="157"/>
      <c r="AH261" s="159"/>
      <c r="AI261" s="35">
        <f t="shared" si="182"/>
        <v>0</v>
      </c>
      <c r="AJ261" s="11">
        <f t="shared" si="183"/>
        <v>0</v>
      </c>
      <c r="AK261" s="11">
        <f t="shared" si="184"/>
        <v>10000000</v>
      </c>
      <c r="AL261" s="11">
        <f t="shared" si="185"/>
        <v>0</v>
      </c>
      <c r="AM261" s="76">
        <f t="shared" si="186"/>
        <v>0</v>
      </c>
      <c r="AN261" s="51">
        <f t="shared" si="176"/>
        <v>10000000</v>
      </c>
      <c r="AO261" s="36"/>
      <c r="AP261" s="9"/>
      <c r="AQ261" s="9"/>
      <c r="AR261" s="9"/>
      <c r="AS261" s="9"/>
      <c r="AT261" s="9"/>
      <c r="AU261" s="9"/>
      <c r="AV261" s="9">
        <f t="shared" si="187"/>
        <v>0</v>
      </c>
      <c r="AW261" s="10">
        <f t="shared" si="188"/>
        <v>0</v>
      </c>
      <c r="AY261" s="11">
        <f t="shared" si="179"/>
        <v>0</v>
      </c>
    </row>
    <row r="262" spans="5:51" ht="60" customHeight="1" x14ac:dyDescent="0.2">
      <c r="E262" s="151">
        <f t="shared" si="189"/>
        <v>40505</v>
      </c>
      <c r="F262" s="170" t="s">
        <v>129</v>
      </c>
      <c r="G262" s="156">
        <v>320000</v>
      </c>
      <c r="H262" s="157">
        <f t="shared" si="191"/>
        <v>320000</v>
      </c>
      <c r="I262" s="158">
        <v>200000</v>
      </c>
      <c r="J262" s="159">
        <f t="shared" si="180"/>
        <v>200000</v>
      </c>
      <c r="K262" s="158">
        <f>200000+25000</f>
        <v>225000</v>
      </c>
      <c r="L262" s="159">
        <v>225000</v>
      </c>
      <c r="M262" s="158">
        <v>225000</v>
      </c>
      <c r="N262" s="159">
        <v>225000</v>
      </c>
      <c r="O262" s="158">
        <v>250000</v>
      </c>
      <c r="P262" s="159">
        <v>250000</v>
      </c>
      <c r="Q262" s="165">
        <f t="shared" si="190"/>
        <v>25000</v>
      </c>
      <c r="R262" s="166">
        <f t="shared" si="190"/>
        <v>25000</v>
      </c>
      <c r="S262" s="156">
        <v>24000</v>
      </c>
      <c r="T262" s="160"/>
      <c r="U262" s="157">
        <f>S262</f>
        <v>24000</v>
      </c>
      <c r="V262" s="161">
        <v>362000</v>
      </c>
      <c r="W262" s="158">
        <v>225000</v>
      </c>
      <c r="X262" s="160"/>
      <c r="Y262" s="160"/>
      <c r="Z262" s="160"/>
      <c r="AA262" s="160">
        <f>W262</f>
        <v>225000</v>
      </c>
      <c r="AB262" s="159"/>
      <c r="AC262" s="158">
        <f t="shared" si="181"/>
        <v>137000</v>
      </c>
      <c r="AD262" s="160"/>
      <c r="AE262" s="160"/>
      <c r="AF262" s="157"/>
      <c r="AG262" s="157">
        <f>AC262</f>
        <v>137000</v>
      </c>
      <c r="AH262" s="159"/>
      <c r="AI262" s="35">
        <f t="shared" si="182"/>
        <v>0</v>
      </c>
      <c r="AJ262" s="11">
        <f t="shared" si="183"/>
        <v>0</v>
      </c>
      <c r="AK262" s="11">
        <f t="shared" si="184"/>
        <v>0</v>
      </c>
      <c r="AL262" s="11">
        <f t="shared" si="185"/>
        <v>362000</v>
      </c>
      <c r="AM262" s="76">
        <f t="shared" si="186"/>
        <v>0</v>
      </c>
      <c r="AN262" s="51">
        <f t="shared" si="176"/>
        <v>362000</v>
      </c>
      <c r="AO262" s="36"/>
      <c r="AP262" s="9"/>
      <c r="AQ262" s="9"/>
      <c r="AR262" s="9"/>
      <c r="AS262" s="9"/>
      <c r="AT262" s="9"/>
      <c r="AU262" s="9"/>
      <c r="AV262" s="9">
        <f t="shared" si="187"/>
        <v>0</v>
      </c>
      <c r="AW262" s="10">
        <f t="shared" si="188"/>
        <v>0</v>
      </c>
      <c r="AY262" s="11">
        <f t="shared" si="179"/>
        <v>0</v>
      </c>
    </row>
    <row r="263" spans="5:51" ht="60" customHeight="1" x14ac:dyDescent="0.2">
      <c r="E263" s="151">
        <f t="shared" si="189"/>
        <v>40506</v>
      </c>
      <c r="F263" s="170" t="s">
        <v>130</v>
      </c>
      <c r="G263" s="156">
        <v>1250000</v>
      </c>
      <c r="H263" s="157">
        <f t="shared" si="191"/>
        <v>1250000</v>
      </c>
      <c r="I263" s="158">
        <v>1000000</v>
      </c>
      <c r="J263" s="159">
        <f t="shared" si="180"/>
        <v>1000000</v>
      </c>
      <c r="K263" s="158">
        <v>2738000</v>
      </c>
      <c r="L263" s="159">
        <v>2737323</v>
      </c>
      <c r="M263" s="158">
        <v>2700000</v>
      </c>
      <c r="N263" s="159">
        <v>2700000</v>
      </c>
      <c r="O263" s="158">
        <v>3200000</v>
      </c>
      <c r="P263" s="159">
        <v>2158000</v>
      </c>
      <c r="Q263" s="165">
        <f t="shared" si="190"/>
        <v>500000</v>
      </c>
      <c r="R263" s="166">
        <f t="shared" si="190"/>
        <v>-542000</v>
      </c>
      <c r="S263" s="156"/>
      <c r="T263" s="160"/>
      <c r="U263" s="157"/>
      <c r="V263" s="161">
        <v>3998000</v>
      </c>
      <c r="W263" s="158">
        <v>2700000</v>
      </c>
      <c r="X263" s="160"/>
      <c r="Y263" s="160">
        <f>W263</f>
        <v>2700000</v>
      </c>
      <c r="Z263" s="160"/>
      <c r="AA263" s="160"/>
      <c r="AB263" s="159"/>
      <c r="AC263" s="158">
        <f t="shared" si="181"/>
        <v>1298000</v>
      </c>
      <c r="AD263" s="160"/>
      <c r="AE263" s="160">
        <f>AC263</f>
        <v>1298000</v>
      </c>
      <c r="AF263" s="157"/>
      <c r="AG263" s="157"/>
      <c r="AH263" s="159"/>
      <c r="AI263" s="35">
        <f t="shared" si="182"/>
        <v>0</v>
      </c>
      <c r="AJ263" s="11">
        <f t="shared" si="183"/>
        <v>3998000</v>
      </c>
      <c r="AK263" s="11">
        <f t="shared" si="184"/>
        <v>0</v>
      </c>
      <c r="AL263" s="11">
        <f t="shared" si="185"/>
        <v>0</v>
      </c>
      <c r="AM263" s="76">
        <f t="shared" si="186"/>
        <v>0</v>
      </c>
      <c r="AN263" s="51">
        <f t="shared" si="176"/>
        <v>3998000</v>
      </c>
      <c r="AO263" s="36"/>
      <c r="AP263" s="9"/>
      <c r="AQ263" s="9"/>
      <c r="AR263" s="9"/>
      <c r="AS263" s="9"/>
      <c r="AT263" s="9"/>
      <c r="AU263" s="9"/>
      <c r="AV263" s="9">
        <f t="shared" si="187"/>
        <v>0</v>
      </c>
      <c r="AW263" s="10">
        <f t="shared" si="188"/>
        <v>0</v>
      </c>
      <c r="AY263" s="11">
        <f t="shared" si="179"/>
        <v>0</v>
      </c>
    </row>
    <row r="264" spans="5:51" ht="60" customHeight="1" x14ac:dyDescent="0.2">
      <c r="E264" s="151">
        <f t="shared" si="189"/>
        <v>40507</v>
      </c>
      <c r="F264" s="170" t="s">
        <v>131</v>
      </c>
      <c r="G264" s="156">
        <v>300000</v>
      </c>
      <c r="H264" s="157">
        <f t="shared" si="191"/>
        <v>300000</v>
      </c>
      <c r="I264" s="158">
        <v>300000</v>
      </c>
      <c r="J264" s="159">
        <f t="shared" si="180"/>
        <v>300000</v>
      </c>
      <c r="K264" s="158">
        <v>300000</v>
      </c>
      <c r="L264" s="159">
        <v>300000</v>
      </c>
      <c r="M264" s="158">
        <v>300000</v>
      </c>
      <c r="N264" s="159">
        <v>300000</v>
      </c>
      <c r="O264" s="158">
        <v>700000</v>
      </c>
      <c r="P264" s="159">
        <v>700000</v>
      </c>
      <c r="Q264" s="165">
        <f t="shared" si="190"/>
        <v>400000</v>
      </c>
      <c r="R264" s="166">
        <f t="shared" si="190"/>
        <v>400000</v>
      </c>
      <c r="S264" s="156">
        <v>227000</v>
      </c>
      <c r="T264" s="160"/>
      <c r="U264" s="157">
        <f t="shared" ref="U264:U273" si="192">S264</f>
        <v>227000</v>
      </c>
      <c r="V264" s="161">
        <v>1500000</v>
      </c>
      <c r="W264" s="158">
        <v>750000</v>
      </c>
      <c r="X264" s="160"/>
      <c r="Y264" s="160">
        <f>W264</f>
        <v>750000</v>
      </c>
      <c r="Z264" s="160"/>
      <c r="AA264" s="160"/>
      <c r="AB264" s="159"/>
      <c r="AC264" s="158">
        <f t="shared" si="181"/>
        <v>750000</v>
      </c>
      <c r="AD264" s="160"/>
      <c r="AE264" s="160">
        <f>AC264</f>
        <v>750000</v>
      </c>
      <c r="AF264" s="157"/>
      <c r="AG264" s="157"/>
      <c r="AH264" s="159"/>
      <c r="AI264" s="35">
        <f t="shared" si="182"/>
        <v>0</v>
      </c>
      <c r="AJ264" s="11">
        <f t="shared" si="183"/>
        <v>1500000</v>
      </c>
      <c r="AK264" s="11">
        <f t="shared" si="184"/>
        <v>0</v>
      </c>
      <c r="AL264" s="11">
        <f t="shared" si="185"/>
        <v>0</v>
      </c>
      <c r="AM264" s="76">
        <f t="shared" si="186"/>
        <v>0</v>
      </c>
      <c r="AN264" s="51">
        <f t="shared" si="176"/>
        <v>1500000</v>
      </c>
      <c r="AO264" s="36"/>
      <c r="AP264" s="9"/>
      <c r="AQ264" s="9"/>
      <c r="AR264" s="9"/>
      <c r="AS264" s="9"/>
      <c r="AT264" s="9"/>
      <c r="AU264" s="9"/>
      <c r="AV264" s="9">
        <f t="shared" si="187"/>
        <v>0</v>
      </c>
      <c r="AW264" s="10">
        <f t="shared" si="188"/>
        <v>0</v>
      </c>
      <c r="AY264" s="11">
        <f t="shared" si="179"/>
        <v>0</v>
      </c>
    </row>
    <row r="265" spans="5:51" ht="60" customHeight="1" x14ac:dyDescent="0.2">
      <c r="E265" s="151">
        <f t="shared" si="189"/>
        <v>40508</v>
      </c>
      <c r="F265" s="170" t="s">
        <v>132</v>
      </c>
      <c r="G265" s="156">
        <v>30000</v>
      </c>
      <c r="H265" s="157">
        <f t="shared" si="191"/>
        <v>30000</v>
      </c>
      <c r="I265" s="158">
        <v>30000</v>
      </c>
      <c r="J265" s="159">
        <v>22500</v>
      </c>
      <c r="K265" s="158">
        <v>20000</v>
      </c>
      <c r="L265" s="159">
        <v>20000</v>
      </c>
      <c r="M265" s="158">
        <v>20000</v>
      </c>
      <c r="N265" s="159">
        <v>20000</v>
      </c>
      <c r="O265" s="158">
        <v>81000</v>
      </c>
      <c r="P265" s="159">
        <v>20000</v>
      </c>
      <c r="Q265" s="165">
        <f t="shared" si="190"/>
        <v>61000</v>
      </c>
      <c r="R265" s="166">
        <f t="shared" si="190"/>
        <v>0</v>
      </c>
      <c r="S265" s="156">
        <v>16000</v>
      </c>
      <c r="T265" s="160"/>
      <c r="U265" s="157">
        <f t="shared" si="192"/>
        <v>16000</v>
      </c>
      <c r="V265" s="161">
        <v>50000</v>
      </c>
      <c r="W265" s="158">
        <v>20000</v>
      </c>
      <c r="X265" s="160"/>
      <c r="Y265" s="160"/>
      <c r="Z265" s="160"/>
      <c r="AA265" s="160">
        <f>W265</f>
        <v>20000</v>
      </c>
      <c r="AB265" s="159"/>
      <c r="AC265" s="158">
        <f t="shared" si="181"/>
        <v>30000</v>
      </c>
      <c r="AD265" s="160"/>
      <c r="AE265" s="160"/>
      <c r="AF265" s="157"/>
      <c r="AG265" s="157">
        <f>AC265</f>
        <v>30000</v>
      </c>
      <c r="AH265" s="159"/>
      <c r="AI265" s="35">
        <f t="shared" si="182"/>
        <v>0</v>
      </c>
      <c r="AJ265" s="11">
        <f t="shared" si="183"/>
        <v>0</v>
      </c>
      <c r="AK265" s="11">
        <f t="shared" si="184"/>
        <v>0</v>
      </c>
      <c r="AL265" s="11">
        <f t="shared" si="185"/>
        <v>50000</v>
      </c>
      <c r="AM265" s="76">
        <f t="shared" si="186"/>
        <v>0</v>
      </c>
      <c r="AN265" s="51">
        <f t="shared" si="176"/>
        <v>50000</v>
      </c>
      <c r="AO265" s="36"/>
      <c r="AP265" s="9"/>
      <c r="AQ265" s="9"/>
      <c r="AR265" s="9"/>
      <c r="AS265" s="9"/>
      <c r="AT265" s="9"/>
      <c r="AU265" s="9"/>
      <c r="AV265" s="9">
        <f t="shared" si="187"/>
        <v>0</v>
      </c>
      <c r="AW265" s="10">
        <f t="shared" si="188"/>
        <v>0</v>
      </c>
      <c r="AY265" s="11">
        <f t="shared" si="179"/>
        <v>0</v>
      </c>
    </row>
    <row r="266" spans="5:51" ht="60" customHeight="1" x14ac:dyDescent="0.2">
      <c r="E266" s="151">
        <f t="shared" si="189"/>
        <v>40509</v>
      </c>
      <c r="F266" s="170" t="s">
        <v>133</v>
      </c>
      <c r="G266" s="156">
        <v>30000</v>
      </c>
      <c r="H266" s="157">
        <f t="shared" si="191"/>
        <v>30000</v>
      </c>
      <c r="I266" s="158">
        <v>30000</v>
      </c>
      <c r="J266" s="159">
        <f>I266</f>
        <v>30000</v>
      </c>
      <c r="K266" s="158">
        <v>142000</v>
      </c>
      <c r="L266" s="159">
        <v>142000</v>
      </c>
      <c r="M266" s="158">
        <v>20000</v>
      </c>
      <c r="N266" s="159">
        <v>20000</v>
      </c>
      <c r="O266" s="158">
        <v>80000</v>
      </c>
      <c r="P266" s="159">
        <v>40000</v>
      </c>
      <c r="Q266" s="165">
        <f t="shared" si="190"/>
        <v>60000</v>
      </c>
      <c r="R266" s="166">
        <f t="shared" si="190"/>
        <v>20000</v>
      </c>
      <c r="S266" s="156">
        <v>14000</v>
      </c>
      <c r="T266" s="160"/>
      <c r="U266" s="157">
        <f t="shared" si="192"/>
        <v>14000</v>
      </c>
      <c r="V266" s="161">
        <v>114000</v>
      </c>
      <c r="W266" s="158">
        <v>20000</v>
      </c>
      <c r="X266" s="160"/>
      <c r="Y266" s="160"/>
      <c r="Z266" s="160"/>
      <c r="AA266" s="160">
        <f>W266</f>
        <v>20000</v>
      </c>
      <c r="AB266" s="159"/>
      <c r="AC266" s="158">
        <f t="shared" si="181"/>
        <v>94000</v>
      </c>
      <c r="AD266" s="160"/>
      <c r="AE266" s="160"/>
      <c r="AF266" s="157"/>
      <c r="AG266" s="157">
        <f>AC266</f>
        <v>94000</v>
      </c>
      <c r="AH266" s="159"/>
      <c r="AI266" s="35">
        <f t="shared" si="182"/>
        <v>0</v>
      </c>
      <c r="AJ266" s="11">
        <f t="shared" si="183"/>
        <v>0</v>
      </c>
      <c r="AK266" s="11">
        <f t="shared" si="184"/>
        <v>0</v>
      </c>
      <c r="AL266" s="11">
        <f t="shared" si="185"/>
        <v>114000</v>
      </c>
      <c r="AM266" s="76">
        <f t="shared" si="186"/>
        <v>0</v>
      </c>
      <c r="AN266" s="51">
        <f t="shared" si="176"/>
        <v>114000</v>
      </c>
      <c r="AO266" s="36"/>
      <c r="AP266" s="9"/>
      <c r="AQ266" s="9"/>
      <c r="AR266" s="9"/>
      <c r="AS266" s="9"/>
      <c r="AT266" s="9"/>
      <c r="AU266" s="9"/>
      <c r="AV266" s="9">
        <f t="shared" si="187"/>
        <v>0</v>
      </c>
      <c r="AW266" s="10">
        <f t="shared" si="188"/>
        <v>0</v>
      </c>
      <c r="AY266" s="11">
        <f t="shared" si="179"/>
        <v>0</v>
      </c>
    </row>
    <row r="267" spans="5:51" ht="60" customHeight="1" x14ac:dyDescent="0.2">
      <c r="E267" s="151">
        <f t="shared" si="189"/>
        <v>40510</v>
      </c>
      <c r="F267" s="170" t="s">
        <v>135</v>
      </c>
      <c r="G267" s="156">
        <v>500000</v>
      </c>
      <c r="H267" s="157">
        <f t="shared" si="191"/>
        <v>500000</v>
      </c>
      <c r="I267" s="158">
        <v>500000</v>
      </c>
      <c r="J267" s="159">
        <f>I267</f>
        <v>500000</v>
      </c>
      <c r="K267" s="158">
        <f>700000+535000</f>
        <v>1235000</v>
      </c>
      <c r="L267" s="159">
        <v>1235000</v>
      </c>
      <c r="M267" s="158">
        <v>1235000</v>
      </c>
      <c r="N267" s="159">
        <v>350000</v>
      </c>
      <c r="O267" s="158">
        <v>1445000</v>
      </c>
      <c r="P267" s="159">
        <v>1235000</v>
      </c>
      <c r="Q267" s="165">
        <f t="shared" si="190"/>
        <v>210000</v>
      </c>
      <c r="R267" s="166">
        <f t="shared" si="190"/>
        <v>885000</v>
      </c>
      <c r="S267" s="156">
        <v>574000</v>
      </c>
      <c r="T267" s="160"/>
      <c r="U267" s="157">
        <f t="shared" si="192"/>
        <v>574000</v>
      </c>
      <c r="V267" s="161">
        <v>1000000</v>
      </c>
      <c r="W267" s="158">
        <v>350000</v>
      </c>
      <c r="X267" s="160"/>
      <c r="Y267" s="160"/>
      <c r="Z267" s="160">
        <f>W267</f>
        <v>350000</v>
      </c>
      <c r="AA267" s="160"/>
      <c r="AB267" s="159"/>
      <c r="AC267" s="158">
        <f t="shared" si="181"/>
        <v>650000</v>
      </c>
      <c r="AD267" s="160"/>
      <c r="AE267" s="160"/>
      <c r="AF267" s="157">
        <f>AC267</f>
        <v>650000</v>
      </c>
      <c r="AG267" s="157"/>
      <c r="AH267" s="159"/>
      <c r="AI267" s="35">
        <f t="shared" si="182"/>
        <v>0</v>
      </c>
      <c r="AJ267" s="11">
        <f t="shared" si="183"/>
        <v>0</v>
      </c>
      <c r="AK267" s="11">
        <f t="shared" si="184"/>
        <v>1000000</v>
      </c>
      <c r="AL267" s="11">
        <f t="shared" si="185"/>
        <v>0</v>
      </c>
      <c r="AM267" s="76">
        <f t="shared" si="186"/>
        <v>0</v>
      </c>
      <c r="AN267" s="51">
        <f t="shared" si="176"/>
        <v>1000000</v>
      </c>
      <c r="AO267" s="36"/>
      <c r="AP267" s="9"/>
      <c r="AQ267" s="9"/>
      <c r="AR267" s="9"/>
      <c r="AS267" s="9"/>
      <c r="AT267" s="9"/>
      <c r="AU267" s="9"/>
      <c r="AV267" s="9">
        <f t="shared" si="187"/>
        <v>0</v>
      </c>
      <c r="AW267" s="10">
        <f t="shared" si="188"/>
        <v>0</v>
      </c>
      <c r="AY267" s="11">
        <f t="shared" si="179"/>
        <v>0</v>
      </c>
    </row>
    <row r="268" spans="5:51" ht="60" customHeight="1" x14ac:dyDescent="0.2">
      <c r="E268" s="151">
        <f t="shared" si="189"/>
        <v>40511</v>
      </c>
      <c r="F268" s="170" t="s">
        <v>298</v>
      </c>
      <c r="G268" s="156">
        <v>1850000</v>
      </c>
      <c r="H268" s="157">
        <f t="shared" si="191"/>
        <v>1850000</v>
      </c>
      <c r="I268" s="158">
        <v>1400000</v>
      </c>
      <c r="J268" s="159">
        <f>I268</f>
        <v>1400000</v>
      </c>
      <c r="K268" s="158">
        <v>1411000</v>
      </c>
      <c r="L268" s="159">
        <v>1410800</v>
      </c>
      <c r="M268" s="158">
        <v>2470000</v>
      </c>
      <c r="N268" s="159">
        <f>700000+825000+700000</f>
        <v>2225000</v>
      </c>
      <c r="O268" s="158">
        <v>2000000</v>
      </c>
      <c r="P268" s="159">
        <v>1818000</v>
      </c>
      <c r="Q268" s="165">
        <f t="shared" si="190"/>
        <v>-470000</v>
      </c>
      <c r="R268" s="166">
        <f t="shared" si="190"/>
        <v>-407000</v>
      </c>
      <c r="S268" s="156">
        <v>1166000</v>
      </c>
      <c r="T268" s="160"/>
      <c r="U268" s="157">
        <f t="shared" si="192"/>
        <v>1166000</v>
      </c>
      <c r="V268" s="161">
        <v>2000000</v>
      </c>
      <c r="W268" s="158">
        <v>2000000</v>
      </c>
      <c r="X268" s="160"/>
      <c r="Y268" s="160"/>
      <c r="Z268" s="160"/>
      <c r="AA268" s="160">
        <f>W268</f>
        <v>2000000</v>
      </c>
      <c r="AB268" s="159"/>
      <c r="AC268" s="158">
        <f t="shared" si="181"/>
        <v>0</v>
      </c>
      <c r="AD268" s="160"/>
      <c r="AE268" s="160"/>
      <c r="AF268" s="157"/>
      <c r="AG268" s="157"/>
      <c r="AH268" s="159"/>
      <c r="AI268" s="35">
        <f t="shared" si="182"/>
        <v>0</v>
      </c>
      <c r="AJ268" s="11">
        <f t="shared" si="183"/>
        <v>0</v>
      </c>
      <c r="AK268" s="11">
        <f t="shared" si="184"/>
        <v>0</v>
      </c>
      <c r="AL268" s="11">
        <f t="shared" si="185"/>
        <v>2000000</v>
      </c>
      <c r="AM268" s="76">
        <f t="shared" si="186"/>
        <v>0</v>
      </c>
      <c r="AN268" s="51">
        <f t="shared" si="176"/>
        <v>2000000</v>
      </c>
      <c r="AO268" s="36"/>
      <c r="AP268" s="9"/>
      <c r="AQ268" s="9"/>
      <c r="AR268" s="9"/>
      <c r="AS268" s="9"/>
      <c r="AT268" s="9"/>
      <c r="AU268" s="9"/>
      <c r="AV268" s="9">
        <f t="shared" si="187"/>
        <v>0</v>
      </c>
      <c r="AW268" s="10">
        <f t="shared" si="188"/>
        <v>0</v>
      </c>
      <c r="AY268" s="11">
        <f t="shared" si="179"/>
        <v>0</v>
      </c>
    </row>
    <row r="269" spans="5:51" ht="60" customHeight="1" x14ac:dyDescent="0.2">
      <c r="E269" s="151">
        <f t="shared" si="189"/>
        <v>40512</v>
      </c>
      <c r="F269" s="170" t="s">
        <v>136</v>
      </c>
      <c r="G269" s="156">
        <v>500000</v>
      </c>
      <c r="H269" s="157">
        <f t="shared" si="191"/>
        <v>500000</v>
      </c>
      <c r="I269" s="158">
        <v>300000</v>
      </c>
      <c r="J269" s="159">
        <v>225000</v>
      </c>
      <c r="K269" s="158">
        <v>300000</v>
      </c>
      <c r="L269" s="159">
        <v>300000</v>
      </c>
      <c r="M269" s="158">
        <v>300000</v>
      </c>
      <c r="N269" s="159">
        <v>300000</v>
      </c>
      <c r="O269" s="158">
        <v>300000</v>
      </c>
      <c r="P269" s="159">
        <v>300000</v>
      </c>
      <c r="Q269" s="165">
        <f t="shared" si="190"/>
        <v>0</v>
      </c>
      <c r="R269" s="166">
        <f t="shared" si="190"/>
        <v>0</v>
      </c>
      <c r="S269" s="156">
        <v>175000</v>
      </c>
      <c r="T269" s="160"/>
      <c r="U269" s="164">
        <f t="shared" si="192"/>
        <v>175000</v>
      </c>
      <c r="V269" s="161">
        <v>700000</v>
      </c>
      <c r="W269" s="158">
        <v>300000</v>
      </c>
      <c r="X269" s="160"/>
      <c r="Y269" s="160">
        <f>W269</f>
        <v>300000</v>
      </c>
      <c r="Z269" s="160"/>
      <c r="AA269" s="160"/>
      <c r="AB269" s="159"/>
      <c r="AC269" s="158">
        <f t="shared" si="181"/>
        <v>400000</v>
      </c>
      <c r="AD269" s="160"/>
      <c r="AE269" s="160">
        <f>AC269</f>
        <v>400000</v>
      </c>
      <c r="AF269" s="157"/>
      <c r="AG269" s="157"/>
      <c r="AH269" s="159"/>
      <c r="AI269" s="35">
        <f t="shared" si="182"/>
        <v>0</v>
      </c>
      <c r="AJ269" s="11">
        <f t="shared" si="183"/>
        <v>700000</v>
      </c>
      <c r="AK269" s="11">
        <f t="shared" si="184"/>
        <v>0</v>
      </c>
      <c r="AL269" s="11">
        <f t="shared" si="185"/>
        <v>0</v>
      </c>
      <c r="AM269" s="76">
        <f t="shared" si="186"/>
        <v>0</v>
      </c>
      <c r="AN269" s="51">
        <f t="shared" si="176"/>
        <v>700000</v>
      </c>
      <c r="AO269" s="36"/>
      <c r="AP269" s="9"/>
      <c r="AQ269" s="9"/>
      <c r="AR269" s="9"/>
      <c r="AS269" s="9"/>
      <c r="AT269" s="9"/>
      <c r="AU269" s="9"/>
      <c r="AV269" s="9">
        <f t="shared" si="187"/>
        <v>0</v>
      </c>
      <c r="AW269" s="10">
        <f t="shared" si="188"/>
        <v>0</v>
      </c>
      <c r="AY269" s="11">
        <f t="shared" si="179"/>
        <v>0</v>
      </c>
    </row>
    <row r="270" spans="5:51" ht="60" customHeight="1" x14ac:dyDescent="0.2">
      <c r="E270" s="151">
        <f t="shared" si="189"/>
        <v>40513</v>
      </c>
      <c r="F270" s="170" t="s">
        <v>137</v>
      </c>
      <c r="G270" s="156">
        <v>1277000</v>
      </c>
      <c r="H270" s="157">
        <f t="shared" si="191"/>
        <v>1277000</v>
      </c>
      <c r="I270" s="158">
        <v>400000</v>
      </c>
      <c r="J270" s="159">
        <f>I270</f>
        <v>400000</v>
      </c>
      <c r="K270" s="158">
        <v>400000</v>
      </c>
      <c r="L270" s="159">
        <v>400000</v>
      </c>
      <c r="M270" s="158">
        <v>400000</v>
      </c>
      <c r="N270" s="159">
        <v>200000</v>
      </c>
      <c r="O270" s="158">
        <v>400000</v>
      </c>
      <c r="P270" s="159">
        <v>400000</v>
      </c>
      <c r="Q270" s="165">
        <f t="shared" si="190"/>
        <v>0</v>
      </c>
      <c r="R270" s="166">
        <f t="shared" si="190"/>
        <v>200000</v>
      </c>
      <c r="S270" s="156">
        <v>82000</v>
      </c>
      <c r="T270" s="160"/>
      <c r="U270" s="157">
        <f t="shared" si="192"/>
        <v>82000</v>
      </c>
      <c r="V270" s="161">
        <v>1000000</v>
      </c>
      <c r="W270" s="158">
        <v>400000</v>
      </c>
      <c r="X270" s="160"/>
      <c r="Y270" s="160">
        <f>W270</f>
        <v>400000</v>
      </c>
      <c r="Z270" s="160"/>
      <c r="AA270" s="160"/>
      <c r="AB270" s="159"/>
      <c r="AC270" s="158">
        <f t="shared" si="181"/>
        <v>600000</v>
      </c>
      <c r="AD270" s="160"/>
      <c r="AE270" s="160">
        <f>AC270</f>
        <v>600000</v>
      </c>
      <c r="AF270" s="157"/>
      <c r="AG270" s="157"/>
      <c r="AH270" s="159"/>
      <c r="AI270" s="35">
        <f t="shared" si="182"/>
        <v>0</v>
      </c>
      <c r="AJ270" s="11">
        <f t="shared" si="183"/>
        <v>1000000</v>
      </c>
      <c r="AK270" s="11">
        <f t="shared" si="184"/>
        <v>0</v>
      </c>
      <c r="AL270" s="11">
        <f t="shared" si="185"/>
        <v>0</v>
      </c>
      <c r="AM270" s="76">
        <f t="shared" si="186"/>
        <v>0</v>
      </c>
      <c r="AN270" s="51">
        <f t="shared" si="176"/>
        <v>1000000</v>
      </c>
      <c r="AO270" s="36"/>
      <c r="AP270" s="9"/>
      <c r="AQ270" s="9"/>
      <c r="AR270" s="9"/>
      <c r="AS270" s="9"/>
      <c r="AT270" s="9"/>
      <c r="AU270" s="9"/>
      <c r="AV270" s="9">
        <f t="shared" si="187"/>
        <v>0</v>
      </c>
      <c r="AW270" s="10">
        <f t="shared" si="188"/>
        <v>0</v>
      </c>
      <c r="AY270" s="11">
        <f t="shared" si="179"/>
        <v>0</v>
      </c>
    </row>
    <row r="271" spans="5:51" ht="60" customHeight="1" x14ac:dyDescent="0.2">
      <c r="E271" s="151">
        <f t="shared" si="189"/>
        <v>40514</v>
      </c>
      <c r="F271" s="170" t="s">
        <v>138</v>
      </c>
      <c r="G271" s="156">
        <v>100000</v>
      </c>
      <c r="H271" s="157">
        <f t="shared" si="191"/>
        <v>100000</v>
      </c>
      <c r="I271" s="158">
        <v>100000</v>
      </c>
      <c r="J271" s="159">
        <f>I271</f>
        <v>100000</v>
      </c>
      <c r="K271" s="158">
        <v>100000</v>
      </c>
      <c r="L271" s="159">
        <v>100000</v>
      </c>
      <c r="M271" s="158"/>
      <c r="N271" s="159"/>
      <c r="O271" s="158">
        <v>150000</v>
      </c>
      <c r="P271" s="159">
        <v>75000</v>
      </c>
      <c r="Q271" s="165">
        <f t="shared" si="190"/>
        <v>150000</v>
      </c>
      <c r="R271" s="166">
        <f t="shared" si="190"/>
        <v>75000</v>
      </c>
      <c r="S271" s="156">
        <v>80000</v>
      </c>
      <c r="T271" s="160"/>
      <c r="U271" s="157">
        <f t="shared" si="192"/>
        <v>80000</v>
      </c>
      <c r="V271" s="161">
        <v>101000</v>
      </c>
      <c r="W271" s="158">
        <v>50000</v>
      </c>
      <c r="X271" s="160"/>
      <c r="Y271" s="160"/>
      <c r="Z271" s="160"/>
      <c r="AA271" s="160">
        <f>W271</f>
        <v>50000</v>
      </c>
      <c r="AB271" s="159"/>
      <c r="AC271" s="158">
        <f t="shared" si="181"/>
        <v>51000</v>
      </c>
      <c r="AD271" s="160"/>
      <c r="AE271" s="160"/>
      <c r="AF271" s="157"/>
      <c r="AG271" s="157">
        <f>AC271</f>
        <v>51000</v>
      </c>
      <c r="AH271" s="159"/>
      <c r="AI271" s="35">
        <f t="shared" si="182"/>
        <v>0</v>
      </c>
      <c r="AJ271" s="11">
        <f t="shared" si="183"/>
        <v>0</v>
      </c>
      <c r="AK271" s="11">
        <f t="shared" si="184"/>
        <v>0</v>
      </c>
      <c r="AL271" s="11">
        <f t="shared" si="185"/>
        <v>101000</v>
      </c>
      <c r="AM271" s="76">
        <f t="shared" si="186"/>
        <v>0</v>
      </c>
      <c r="AN271" s="51">
        <f t="shared" si="176"/>
        <v>101000</v>
      </c>
      <c r="AO271" s="36"/>
      <c r="AP271" s="9"/>
      <c r="AQ271" s="9"/>
      <c r="AR271" s="9"/>
      <c r="AS271" s="9"/>
      <c r="AT271" s="9"/>
      <c r="AU271" s="9"/>
      <c r="AV271" s="9">
        <f t="shared" si="187"/>
        <v>0</v>
      </c>
      <c r="AW271" s="10">
        <f t="shared" si="188"/>
        <v>0</v>
      </c>
      <c r="AY271" s="11">
        <f t="shared" si="179"/>
        <v>0</v>
      </c>
    </row>
    <row r="272" spans="5:51" ht="60" customHeight="1" x14ac:dyDescent="0.2">
      <c r="E272" s="151">
        <f t="shared" si="189"/>
        <v>40515</v>
      </c>
      <c r="F272" s="170" t="s">
        <v>266</v>
      </c>
      <c r="G272" s="156">
        <v>20000</v>
      </c>
      <c r="H272" s="157">
        <f t="shared" si="191"/>
        <v>20000</v>
      </c>
      <c r="I272" s="158">
        <v>50000</v>
      </c>
      <c r="J272" s="159">
        <f>I272</f>
        <v>50000</v>
      </c>
      <c r="K272" s="158">
        <f>50000-25000</f>
        <v>25000</v>
      </c>
      <c r="L272" s="159">
        <v>25000</v>
      </c>
      <c r="M272" s="158">
        <v>25000</v>
      </c>
      <c r="N272" s="159">
        <v>25000</v>
      </c>
      <c r="O272" s="158">
        <v>25000</v>
      </c>
      <c r="P272" s="159">
        <v>25000</v>
      </c>
      <c r="Q272" s="165">
        <f t="shared" si="190"/>
        <v>0</v>
      </c>
      <c r="R272" s="166">
        <f t="shared" si="190"/>
        <v>0</v>
      </c>
      <c r="S272" s="156">
        <v>15000</v>
      </c>
      <c r="T272" s="160"/>
      <c r="U272" s="157">
        <f t="shared" si="192"/>
        <v>15000</v>
      </c>
      <c r="V272" s="161">
        <v>270000</v>
      </c>
      <c r="W272" s="158">
        <v>0</v>
      </c>
      <c r="X272" s="160"/>
      <c r="Y272" s="160">
        <f>W272</f>
        <v>0</v>
      </c>
      <c r="Z272" s="160"/>
      <c r="AA272" s="160"/>
      <c r="AB272" s="159"/>
      <c r="AC272" s="158">
        <f t="shared" si="181"/>
        <v>270000</v>
      </c>
      <c r="AD272" s="160"/>
      <c r="AE272" s="160"/>
      <c r="AF272" s="157"/>
      <c r="AG272" s="157">
        <f>AC272</f>
        <v>270000</v>
      </c>
      <c r="AH272" s="159"/>
      <c r="AI272" s="35">
        <f t="shared" si="182"/>
        <v>0</v>
      </c>
      <c r="AJ272" s="11">
        <f t="shared" si="183"/>
        <v>0</v>
      </c>
      <c r="AK272" s="11">
        <f t="shared" si="184"/>
        <v>0</v>
      </c>
      <c r="AL272" s="11">
        <f t="shared" si="185"/>
        <v>270000</v>
      </c>
      <c r="AM272" s="76">
        <f t="shared" si="186"/>
        <v>0</v>
      </c>
      <c r="AN272" s="51">
        <f t="shared" si="176"/>
        <v>270000</v>
      </c>
      <c r="AO272" s="36"/>
      <c r="AP272" s="9"/>
      <c r="AQ272" s="9"/>
      <c r="AR272" s="9"/>
      <c r="AS272" s="9"/>
      <c r="AT272" s="9"/>
      <c r="AU272" s="9"/>
      <c r="AV272" s="9">
        <f t="shared" si="187"/>
        <v>0</v>
      </c>
      <c r="AW272" s="10">
        <f t="shared" si="188"/>
        <v>0</v>
      </c>
      <c r="AY272" s="11">
        <f t="shared" si="179"/>
        <v>0</v>
      </c>
    </row>
    <row r="273" spans="5:56" ht="60" customHeight="1" x14ac:dyDescent="0.2">
      <c r="E273" s="151">
        <f t="shared" si="189"/>
        <v>40516</v>
      </c>
      <c r="F273" s="170" t="s">
        <v>258</v>
      </c>
      <c r="G273" s="173">
        <v>200000</v>
      </c>
      <c r="H273" s="174">
        <f t="shared" si="191"/>
        <v>200000</v>
      </c>
      <c r="I273" s="175">
        <v>200000</v>
      </c>
      <c r="J273" s="176">
        <f>I273</f>
        <v>200000</v>
      </c>
      <c r="K273" s="175">
        <v>100000</v>
      </c>
      <c r="L273" s="176">
        <v>100000</v>
      </c>
      <c r="M273" s="175">
        <v>100000</v>
      </c>
      <c r="N273" s="176">
        <v>100000</v>
      </c>
      <c r="O273" s="175">
        <v>100000</v>
      </c>
      <c r="P273" s="176">
        <v>100000</v>
      </c>
      <c r="Q273" s="165">
        <f t="shared" si="190"/>
        <v>0</v>
      </c>
      <c r="R273" s="166">
        <f t="shared" si="190"/>
        <v>0</v>
      </c>
      <c r="S273" s="156">
        <v>2000</v>
      </c>
      <c r="T273" s="160"/>
      <c r="U273" s="164">
        <f t="shared" si="192"/>
        <v>2000</v>
      </c>
      <c r="V273" s="161">
        <v>605000</v>
      </c>
      <c r="W273" s="158">
        <v>100000</v>
      </c>
      <c r="X273" s="160"/>
      <c r="Y273" s="160"/>
      <c r="Z273" s="160"/>
      <c r="AA273" s="160">
        <f>W273</f>
        <v>100000</v>
      </c>
      <c r="AB273" s="159"/>
      <c r="AC273" s="158">
        <f t="shared" si="181"/>
        <v>505000</v>
      </c>
      <c r="AD273" s="160"/>
      <c r="AE273" s="160"/>
      <c r="AF273" s="157"/>
      <c r="AG273" s="157">
        <f>AC273</f>
        <v>505000</v>
      </c>
      <c r="AH273" s="159"/>
      <c r="AI273" s="35">
        <f t="shared" si="182"/>
        <v>0</v>
      </c>
      <c r="AJ273" s="11">
        <f t="shared" si="183"/>
        <v>0</v>
      </c>
      <c r="AK273" s="11">
        <f t="shared" si="184"/>
        <v>0</v>
      </c>
      <c r="AL273" s="11">
        <f t="shared" si="185"/>
        <v>605000</v>
      </c>
      <c r="AM273" s="76">
        <f t="shared" si="186"/>
        <v>0</v>
      </c>
      <c r="AN273" s="51">
        <f t="shared" si="176"/>
        <v>605000</v>
      </c>
      <c r="AO273" s="36"/>
      <c r="AP273" s="9"/>
      <c r="AQ273" s="9"/>
      <c r="AR273" s="9"/>
      <c r="AS273" s="9"/>
      <c r="AT273" s="9"/>
      <c r="AU273" s="9"/>
      <c r="AV273" s="9">
        <f t="shared" si="187"/>
        <v>0</v>
      </c>
      <c r="AW273" s="10">
        <f t="shared" si="188"/>
        <v>0</v>
      </c>
      <c r="AY273" s="11">
        <f t="shared" si="179"/>
        <v>0</v>
      </c>
    </row>
    <row r="274" spans="5:56" ht="60" customHeight="1" x14ac:dyDescent="0.2">
      <c r="E274" s="151">
        <f t="shared" si="189"/>
        <v>40517</v>
      </c>
      <c r="F274" s="170" t="s">
        <v>139</v>
      </c>
      <c r="G274" s="173">
        <v>600000</v>
      </c>
      <c r="H274" s="174">
        <f t="shared" si="191"/>
        <v>600000</v>
      </c>
      <c r="I274" s="175">
        <v>600000</v>
      </c>
      <c r="J274" s="176">
        <f>I274</f>
        <v>600000</v>
      </c>
      <c r="K274" s="175">
        <v>600000</v>
      </c>
      <c r="L274" s="176">
        <v>600000</v>
      </c>
      <c r="M274" s="175">
        <v>600000</v>
      </c>
      <c r="N274" s="176">
        <v>600000</v>
      </c>
      <c r="O274" s="175">
        <v>740000</v>
      </c>
      <c r="P274" s="176">
        <v>740000</v>
      </c>
      <c r="Q274" s="165">
        <f t="shared" si="190"/>
        <v>140000</v>
      </c>
      <c r="R274" s="166">
        <f t="shared" si="190"/>
        <v>140000</v>
      </c>
      <c r="S274" s="156">
        <v>326000</v>
      </c>
      <c r="T274" s="160"/>
      <c r="U274" s="157">
        <f>S274</f>
        <v>326000</v>
      </c>
      <c r="V274" s="161">
        <v>1850000</v>
      </c>
      <c r="W274" s="158">
        <v>600000</v>
      </c>
      <c r="X274" s="160"/>
      <c r="Y274" s="160">
        <f>W274</f>
        <v>600000</v>
      </c>
      <c r="Z274" s="160"/>
      <c r="AA274" s="160"/>
      <c r="AB274" s="159"/>
      <c r="AC274" s="158">
        <f t="shared" si="181"/>
        <v>1250000</v>
      </c>
      <c r="AD274" s="160"/>
      <c r="AE274" s="160">
        <f>AC274</f>
        <v>1250000</v>
      </c>
      <c r="AF274" s="157"/>
      <c r="AG274" s="157"/>
      <c r="AH274" s="159"/>
      <c r="AI274" s="35">
        <f t="shared" si="182"/>
        <v>0</v>
      </c>
      <c r="AJ274" s="11">
        <f t="shared" si="183"/>
        <v>1850000</v>
      </c>
      <c r="AK274" s="11">
        <f t="shared" si="184"/>
        <v>0</v>
      </c>
      <c r="AL274" s="11">
        <f t="shared" si="185"/>
        <v>0</v>
      </c>
      <c r="AM274" s="76">
        <f t="shared" si="186"/>
        <v>0</v>
      </c>
      <c r="AN274" s="51">
        <f t="shared" si="176"/>
        <v>1850000</v>
      </c>
      <c r="AO274" s="36"/>
      <c r="AP274" s="9"/>
      <c r="AQ274" s="9"/>
      <c r="AR274" s="9"/>
      <c r="AS274" s="9"/>
      <c r="AT274" s="9"/>
      <c r="AU274" s="9"/>
      <c r="AV274" s="9">
        <f t="shared" si="187"/>
        <v>0</v>
      </c>
      <c r="AW274" s="10">
        <f t="shared" si="188"/>
        <v>0</v>
      </c>
      <c r="AY274" s="11">
        <f t="shared" si="179"/>
        <v>0</v>
      </c>
    </row>
    <row r="275" spans="5:56" ht="60" customHeight="1" x14ac:dyDescent="0.2">
      <c r="E275" s="151">
        <f t="shared" si="189"/>
        <v>40518</v>
      </c>
      <c r="F275" s="170" t="s">
        <v>140</v>
      </c>
      <c r="G275" s="173">
        <v>500000</v>
      </c>
      <c r="H275" s="174">
        <v>500000</v>
      </c>
      <c r="I275" s="175">
        <v>100000</v>
      </c>
      <c r="J275" s="176">
        <v>100000</v>
      </c>
      <c r="K275" s="175">
        <v>250000</v>
      </c>
      <c r="L275" s="176">
        <v>250000</v>
      </c>
      <c r="M275" s="175">
        <v>250000</v>
      </c>
      <c r="N275" s="176">
        <v>250000</v>
      </c>
      <c r="O275" s="175">
        <v>750000</v>
      </c>
      <c r="P275" s="176">
        <v>750000</v>
      </c>
      <c r="Q275" s="165">
        <f t="shared" si="190"/>
        <v>500000</v>
      </c>
      <c r="R275" s="166">
        <f t="shared" si="190"/>
        <v>500000</v>
      </c>
      <c r="S275" s="156">
        <v>582000</v>
      </c>
      <c r="T275" s="160"/>
      <c r="U275" s="157">
        <f>S275</f>
        <v>582000</v>
      </c>
      <c r="V275" s="161">
        <v>750000</v>
      </c>
      <c r="W275" s="158">
        <v>250000</v>
      </c>
      <c r="X275" s="160"/>
      <c r="Y275" s="160"/>
      <c r="Z275" s="160"/>
      <c r="AA275" s="160">
        <f>W275</f>
        <v>250000</v>
      </c>
      <c r="AB275" s="159"/>
      <c r="AC275" s="158">
        <f t="shared" si="181"/>
        <v>500000</v>
      </c>
      <c r="AD275" s="160"/>
      <c r="AE275" s="160"/>
      <c r="AF275" s="157"/>
      <c r="AG275" s="157">
        <f>AC275</f>
        <v>500000</v>
      </c>
      <c r="AH275" s="159"/>
      <c r="AI275" s="35">
        <f t="shared" si="182"/>
        <v>0</v>
      </c>
      <c r="AJ275" s="11">
        <f t="shared" si="183"/>
        <v>0</v>
      </c>
      <c r="AK275" s="11">
        <f t="shared" si="184"/>
        <v>0</v>
      </c>
      <c r="AL275" s="11">
        <f t="shared" si="185"/>
        <v>750000</v>
      </c>
      <c r="AM275" s="76">
        <f t="shared" si="186"/>
        <v>0</v>
      </c>
      <c r="AN275" s="51">
        <f t="shared" si="176"/>
        <v>750000</v>
      </c>
      <c r="AO275" s="36"/>
      <c r="AP275" s="9"/>
      <c r="AQ275" s="9"/>
      <c r="AR275" s="9"/>
      <c r="AS275" s="9"/>
      <c r="AT275" s="9"/>
      <c r="AU275" s="9"/>
      <c r="AV275" s="9">
        <f t="shared" si="187"/>
        <v>0</v>
      </c>
      <c r="AW275" s="10">
        <f t="shared" si="188"/>
        <v>0</v>
      </c>
      <c r="AY275" s="11">
        <f t="shared" si="179"/>
        <v>0</v>
      </c>
    </row>
    <row r="276" spans="5:56" ht="60" customHeight="1" x14ac:dyDescent="0.2">
      <c r="E276" s="151">
        <f t="shared" si="189"/>
        <v>40519</v>
      </c>
      <c r="F276" s="170" t="s">
        <v>293</v>
      </c>
      <c r="G276" s="173">
        <v>10664000</v>
      </c>
      <c r="H276" s="174">
        <v>10664000</v>
      </c>
      <c r="I276" s="175">
        <v>600000</v>
      </c>
      <c r="J276" s="176">
        <f>I276</f>
        <v>600000</v>
      </c>
      <c r="K276" s="175">
        <f>600000+550000+1650000</f>
        <v>2800000</v>
      </c>
      <c r="L276" s="176">
        <v>2800000</v>
      </c>
      <c r="M276" s="175">
        <v>2800000</v>
      </c>
      <c r="N276" s="176">
        <v>2800000</v>
      </c>
      <c r="O276" s="175">
        <v>5000000</v>
      </c>
      <c r="P276" s="176">
        <v>5000000</v>
      </c>
      <c r="Q276" s="165">
        <f t="shared" si="190"/>
        <v>2200000</v>
      </c>
      <c r="R276" s="166">
        <f t="shared" si="190"/>
        <v>2200000</v>
      </c>
      <c r="S276" s="156">
        <v>2148000</v>
      </c>
      <c r="T276" s="160"/>
      <c r="U276" s="157">
        <f>S276</f>
        <v>2148000</v>
      </c>
      <c r="V276" s="161">
        <v>5000000</v>
      </c>
      <c r="W276" s="158">
        <v>2500000</v>
      </c>
      <c r="X276" s="160"/>
      <c r="Y276" s="160">
        <f>W276</f>
        <v>2500000</v>
      </c>
      <c r="Z276" s="160"/>
      <c r="AA276" s="160"/>
      <c r="AB276" s="159"/>
      <c r="AC276" s="158">
        <f t="shared" si="181"/>
        <v>2500000</v>
      </c>
      <c r="AD276" s="160"/>
      <c r="AE276" s="160">
        <f>AC276</f>
        <v>2500000</v>
      </c>
      <c r="AF276" s="157"/>
      <c r="AG276" s="157"/>
      <c r="AH276" s="159"/>
      <c r="AI276" s="35">
        <f t="shared" si="182"/>
        <v>0</v>
      </c>
      <c r="AJ276" s="11">
        <f t="shared" si="183"/>
        <v>5000000</v>
      </c>
      <c r="AK276" s="11">
        <f t="shared" si="184"/>
        <v>0</v>
      </c>
      <c r="AL276" s="11">
        <f t="shared" si="185"/>
        <v>0</v>
      </c>
      <c r="AM276" s="76">
        <f t="shared" si="186"/>
        <v>0</v>
      </c>
      <c r="AN276" s="51">
        <f t="shared" si="176"/>
        <v>5000000</v>
      </c>
      <c r="AO276" s="36"/>
      <c r="AP276" s="9"/>
      <c r="AQ276" s="9"/>
      <c r="AR276" s="9"/>
      <c r="AS276" s="9"/>
      <c r="AT276" s="9"/>
      <c r="AU276" s="9"/>
      <c r="AV276" s="9">
        <f t="shared" si="187"/>
        <v>0</v>
      </c>
      <c r="AW276" s="10">
        <f t="shared" si="188"/>
        <v>0</v>
      </c>
      <c r="AY276" s="11">
        <f t="shared" si="179"/>
        <v>0</v>
      </c>
    </row>
    <row r="277" spans="5:56" ht="60" customHeight="1" x14ac:dyDescent="0.2">
      <c r="E277" s="151">
        <f t="shared" si="189"/>
        <v>40520</v>
      </c>
      <c r="F277" s="170" t="s">
        <v>142</v>
      </c>
      <c r="G277" s="173">
        <v>100000</v>
      </c>
      <c r="H277" s="174">
        <f>G277</f>
        <v>100000</v>
      </c>
      <c r="I277" s="175">
        <v>100000</v>
      </c>
      <c r="J277" s="176">
        <f>I277</f>
        <v>100000</v>
      </c>
      <c r="K277" s="175">
        <v>100000</v>
      </c>
      <c r="L277" s="176">
        <v>100000</v>
      </c>
      <c r="M277" s="175">
        <v>100000</v>
      </c>
      <c r="N277" s="176">
        <v>50000</v>
      </c>
      <c r="O277" s="175">
        <v>50000</v>
      </c>
      <c r="P277" s="176">
        <v>50000</v>
      </c>
      <c r="Q277" s="165">
        <f t="shared" si="190"/>
        <v>-50000</v>
      </c>
      <c r="R277" s="166">
        <f t="shared" si="190"/>
        <v>0</v>
      </c>
      <c r="S277" s="156">
        <v>56000</v>
      </c>
      <c r="T277" s="160"/>
      <c r="U277" s="157">
        <f>S277</f>
        <v>56000</v>
      </c>
      <c r="V277" s="161">
        <v>50000</v>
      </c>
      <c r="W277" s="158">
        <v>50000</v>
      </c>
      <c r="X277" s="160"/>
      <c r="Y277" s="160"/>
      <c r="Z277" s="160">
        <f>W277</f>
        <v>50000</v>
      </c>
      <c r="AA277" s="160"/>
      <c r="AB277" s="159"/>
      <c r="AC277" s="158">
        <f t="shared" si="181"/>
        <v>0</v>
      </c>
      <c r="AD277" s="160"/>
      <c r="AE277" s="160"/>
      <c r="AF277" s="157"/>
      <c r="AG277" s="157"/>
      <c r="AH277" s="159">
        <f>V277-Z277</f>
        <v>0</v>
      </c>
      <c r="AI277" s="35">
        <f t="shared" si="182"/>
        <v>0</v>
      </c>
      <c r="AJ277" s="11">
        <f t="shared" si="183"/>
        <v>0</v>
      </c>
      <c r="AK277" s="11">
        <f t="shared" si="184"/>
        <v>50000</v>
      </c>
      <c r="AL277" s="11">
        <f t="shared" si="185"/>
        <v>0</v>
      </c>
      <c r="AM277" s="76">
        <f t="shared" si="186"/>
        <v>0</v>
      </c>
      <c r="AN277" s="51">
        <f t="shared" si="176"/>
        <v>50000</v>
      </c>
      <c r="AO277" s="36"/>
      <c r="AP277" s="9"/>
      <c r="AQ277" s="9"/>
      <c r="AR277" s="9"/>
      <c r="AS277" s="9"/>
      <c r="AT277" s="9"/>
      <c r="AU277" s="9"/>
      <c r="AV277" s="9">
        <f t="shared" si="187"/>
        <v>0</v>
      </c>
      <c r="AW277" s="10">
        <f t="shared" si="188"/>
        <v>0</v>
      </c>
      <c r="AY277" s="11">
        <f t="shared" si="179"/>
        <v>0</v>
      </c>
    </row>
    <row r="278" spans="5:56" ht="60" customHeight="1" x14ac:dyDescent="0.3">
      <c r="E278" s="149"/>
      <c r="F278" s="127" t="s">
        <v>143</v>
      </c>
      <c r="G278" s="118">
        <f t="shared" ref="G278:AW278" si="193">SUM(G258:G277)</f>
        <v>21341000</v>
      </c>
      <c r="H278" s="116">
        <f t="shared" si="193"/>
        <v>21255000</v>
      </c>
      <c r="I278" s="115">
        <f t="shared" si="193"/>
        <v>13360000</v>
      </c>
      <c r="J278" s="117">
        <f t="shared" si="193"/>
        <v>13277500</v>
      </c>
      <c r="K278" s="115">
        <f t="shared" si="193"/>
        <v>20501000</v>
      </c>
      <c r="L278" s="117">
        <f t="shared" si="193"/>
        <v>18942290</v>
      </c>
      <c r="M278" s="115">
        <f t="shared" si="193"/>
        <v>22342843</v>
      </c>
      <c r="N278" s="117">
        <f t="shared" si="193"/>
        <v>20961911</v>
      </c>
      <c r="O278" s="115">
        <f t="shared" si="193"/>
        <v>34198000</v>
      </c>
      <c r="P278" s="117">
        <f t="shared" si="193"/>
        <v>32335600</v>
      </c>
      <c r="Q278" s="115">
        <f t="shared" si="193"/>
        <v>11855157</v>
      </c>
      <c r="R278" s="117">
        <f t="shared" si="193"/>
        <v>11373689</v>
      </c>
      <c r="S278" s="118">
        <f t="shared" si="193"/>
        <v>7160000</v>
      </c>
      <c r="T278" s="120">
        <f t="shared" si="193"/>
        <v>0</v>
      </c>
      <c r="U278" s="116">
        <f t="shared" si="193"/>
        <v>7160000</v>
      </c>
      <c r="V278" s="119">
        <f t="shared" si="193"/>
        <v>36593000</v>
      </c>
      <c r="W278" s="115">
        <f t="shared" si="193"/>
        <v>16765000</v>
      </c>
      <c r="X278" s="120">
        <f t="shared" si="193"/>
        <v>0</v>
      </c>
      <c r="Y278" s="120">
        <f t="shared" si="193"/>
        <v>9500000</v>
      </c>
      <c r="Z278" s="120">
        <f t="shared" si="193"/>
        <v>3400000</v>
      </c>
      <c r="AA278" s="120">
        <f t="shared" si="193"/>
        <v>3865000</v>
      </c>
      <c r="AB278" s="117">
        <f t="shared" si="193"/>
        <v>0</v>
      </c>
      <c r="AC278" s="115">
        <f t="shared" si="193"/>
        <v>19828000</v>
      </c>
      <c r="AD278" s="120">
        <f t="shared" si="193"/>
        <v>0</v>
      </c>
      <c r="AE278" s="120">
        <f t="shared" si="193"/>
        <v>7788000</v>
      </c>
      <c r="AF278" s="116">
        <f t="shared" si="193"/>
        <v>7650000</v>
      </c>
      <c r="AG278" s="116">
        <f t="shared" si="193"/>
        <v>4390000</v>
      </c>
      <c r="AH278" s="117">
        <f t="shared" si="193"/>
        <v>0</v>
      </c>
      <c r="AI278" s="47">
        <f t="shared" si="193"/>
        <v>0</v>
      </c>
      <c r="AJ278" s="10">
        <f t="shared" si="193"/>
        <v>17288000</v>
      </c>
      <c r="AK278" s="10">
        <f t="shared" si="193"/>
        <v>11050000</v>
      </c>
      <c r="AL278" s="10">
        <f t="shared" si="193"/>
        <v>8255000</v>
      </c>
      <c r="AM278" s="48">
        <f t="shared" si="193"/>
        <v>0</v>
      </c>
      <c r="AN278" s="52">
        <f t="shared" si="193"/>
        <v>36593000</v>
      </c>
      <c r="AO278" s="39">
        <f t="shared" si="193"/>
        <v>0</v>
      </c>
      <c r="AP278" s="10">
        <f t="shared" si="193"/>
        <v>0</v>
      </c>
      <c r="AQ278" s="10">
        <f t="shared" si="193"/>
        <v>0</v>
      </c>
      <c r="AR278" s="10">
        <f t="shared" si="193"/>
        <v>0</v>
      </c>
      <c r="AS278" s="10">
        <f t="shared" si="193"/>
        <v>0</v>
      </c>
      <c r="AT278" s="10">
        <f t="shared" si="193"/>
        <v>0</v>
      </c>
      <c r="AU278" s="10">
        <f t="shared" si="193"/>
        <v>0</v>
      </c>
      <c r="AV278" s="10">
        <f t="shared" si="193"/>
        <v>0</v>
      </c>
      <c r="AW278" s="10">
        <f t="shared" si="193"/>
        <v>0</v>
      </c>
      <c r="AY278" s="11">
        <f t="shared" si="179"/>
        <v>0</v>
      </c>
      <c r="BD278" s="62"/>
    </row>
    <row r="279" spans="5:56" ht="60" customHeight="1" x14ac:dyDescent="0.2">
      <c r="E279" s="151">
        <v>40600</v>
      </c>
      <c r="F279" s="127" t="s">
        <v>352</v>
      </c>
      <c r="G279" s="118"/>
      <c r="H279" s="116"/>
      <c r="I279" s="115"/>
      <c r="J279" s="117"/>
      <c r="K279" s="115"/>
      <c r="L279" s="117"/>
      <c r="M279" s="115"/>
      <c r="N279" s="117"/>
      <c r="O279" s="115"/>
      <c r="P279" s="117"/>
      <c r="Q279" s="115"/>
      <c r="R279" s="117"/>
      <c r="S279" s="118"/>
      <c r="T279" s="120"/>
      <c r="U279" s="116"/>
      <c r="V279" s="119"/>
      <c r="W279" s="115"/>
      <c r="X279" s="120"/>
      <c r="Y279" s="120"/>
      <c r="Z279" s="120"/>
      <c r="AA279" s="120"/>
      <c r="AB279" s="117"/>
      <c r="AC279" s="115"/>
      <c r="AD279" s="120"/>
      <c r="AE279" s="120"/>
      <c r="AF279" s="116"/>
      <c r="AG279" s="116"/>
      <c r="AH279" s="117"/>
      <c r="AI279" s="47"/>
      <c r="AJ279" s="10"/>
      <c r="AK279" s="10"/>
      <c r="AL279" s="10"/>
      <c r="AM279" s="48"/>
      <c r="AN279" s="52"/>
      <c r="AO279" s="39"/>
      <c r="AP279" s="10"/>
      <c r="AQ279" s="10"/>
      <c r="AR279" s="10"/>
      <c r="AS279" s="10"/>
      <c r="AT279" s="10"/>
      <c r="AU279" s="10"/>
      <c r="AV279" s="10"/>
      <c r="AW279" s="10"/>
      <c r="AY279" s="11">
        <f t="shared" si="179"/>
        <v>0</v>
      </c>
    </row>
    <row r="280" spans="5:56" ht="60" customHeight="1" x14ac:dyDescent="0.2">
      <c r="E280" s="151">
        <f>+E279+1</f>
        <v>40601</v>
      </c>
      <c r="F280" s="170" t="s">
        <v>134</v>
      </c>
      <c r="G280" s="156">
        <v>3900000</v>
      </c>
      <c r="H280" s="157">
        <v>3900000</v>
      </c>
      <c r="I280" s="158">
        <v>6650000</v>
      </c>
      <c r="J280" s="159">
        <f>I280</f>
        <v>6650000</v>
      </c>
      <c r="K280" s="158">
        <f>15000000+3945000</f>
        <v>18945000</v>
      </c>
      <c r="L280" s="159">
        <v>18945000</v>
      </c>
      <c r="M280" s="158">
        <v>54367000</v>
      </c>
      <c r="N280" s="159">
        <v>54367000</v>
      </c>
      <c r="O280" s="158">
        <v>38670000</v>
      </c>
      <c r="P280" s="159">
        <v>38495200</v>
      </c>
      <c r="Q280" s="165">
        <f>O280-M280</f>
        <v>-15697000</v>
      </c>
      <c r="R280" s="166">
        <f>P280-N280</f>
        <v>-15871800</v>
      </c>
      <c r="S280" s="156">
        <v>27600000</v>
      </c>
      <c r="T280" s="160"/>
      <c r="U280" s="157">
        <f>S280</f>
        <v>27600000</v>
      </c>
      <c r="V280" s="161">
        <v>21800000</v>
      </c>
      <c r="W280" s="158">
        <v>10000000</v>
      </c>
      <c r="X280" s="160"/>
      <c r="Y280" s="160"/>
      <c r="Z280" s="160">
        <f>W280</f>
        <v>10000000</v>
      </c>
      <c r="AA280" s="160"/>
      <c r="AB280" s="159"/>
      <c r="AC280" s="158">
        <f>V280-W280</f>
        <v>11800000</v>
      </c>
      <c r="AD280" s="160"/>
      <c r="AE280" s="160"/>
      <c r="AF280" s="157">
        <f>AC280</f>
        <v>11800000</v>
      </c>
      <c r="AG280" s="157"/>
      <c r="AH280" s="159"/>
      <c r="AI280" s="35">
        <f t="shared" ref="AI280:AM281" si="194">AD280+X280</f>
        <v>0</v>
      </c>
      <c r="AJ280" s="11">
        <f t="shared" si="194"/>
        <v>0</v>
      </c>
      <c r="AK280" s="11">
        <f t="shared" si="194"/>
        <v>21800000</v>
      </c>
      <c r="AL280" s="11">
        <f t="shared" si="194"/>
        <v>0</v>
      </c>
      <c r="AM280" s="76">
        <f t="shared" si="194"/>
        <v>0</v>
      </c>
      <c r="AN280" s="51">
        <f>SUM(AJ280:AM280)</f>
        <v>21800000</v>
      </c>
      <c r="AO280" s="39"/>
      <c r="AP280" s="10"/>
      <c r="AQ280" s="10"/>
      <c r="AR280" s="10"/>
      <c r="AS280" s="10"/>
      <c r="AT280" s="10"/>
      <c r="AU280" s="10"/>
      <c r="AV280" s="10"/>
      <c r="AW280" s="10"/>
      <c r="AY280" s="11">
        <f t="shared" si="179"/>
        <v>0</v>
      </c>
    </row>
    <row r="281" spans="5:56" ht="60" customHeight="1" x14ac:dyDescent="0.2">
      <c r="E281" s="151">
        <f>+E280+1</f>
        <v>40602</v>
      </c>
      <c r="F281" s="170" t="s">
        <v>317</v>
      </c>
      <c r="G281" s="156"/>
      <c r="H281" s="157"/>
      <c r="I281" s="158"/>
      <c r="J281" s="159"/>
      <c r="K281" s="158"/>
      <c r="L281" s="159"/>
      <c r="M281" s="158">
        <v>18010000</v>
      </c>
      <c r="N281" s="159">
        <f>21000000-520000-3350000+876585</f>
        <v>18006585</v>
      </c>
      <c r="O281" s="158">
        <v>43940000</v>
      </c>
      <c r="P281" s="159">
        <v>38940000</v>
      </c>
      <c r="Q281" s="165">
        <f>O281-M281</f>
        <v>25930000</v>
      </c>
      <c r="R281" s="166">
        <f>P281-N281</f>
        <v>20933415</v>
      </c>
      <c r="S281" s="156">
        <v>7300000</v>
      </c>
      <c r="T281" s="160"/>
      <c r="U281" s="164">
        <f>S281</f>
        <v>7300000</v>
      </c>
      <c r="V281" s="161">
        <v>20000000</v>
      </c>
      <c r="W281" s="158">
        <v>5000000</v>
      </c>
      <c r="X281" s="160"/>
      <c r="Y281" s="160">
        <f>W281</f>
        <v>5000000</v>
      </c>
      <c r="Z281" s="160"/>
      <c r="AA281" s="160"/>
      <c r="AB281" s="159"/>
      <c r="AC281" s="158">
        <f>V281-W281</f>
        <v>15000000</v>
      </c>
      <c r="AD281" s="160"/>
      <c r="AE281" s="160">
        <f>AC281</f>
        <v>15000000</v>
      </c>
      <c r="AF281" s="157"/>
      <c r="AG281" s="157"/>
      <c r="AH281" s="159"/>
      <c r="AI281" s="35">
        <f t="shared" si="194"/>
        <v>0</v>
      </c>
      <c r="AJ281" s="11">
        <f t="shared" si="194"/>
        <v>20000000</v>
      </c>
      <c r="AK281" s="11">
        <f t="shared" si="194"/>
        <v>0</v>
      </c>
      <c r="AL281" s="11">
        <f t="shared" si="194"/>
        <v>0</v>
      </c>
      <c r="AM281" s="76">
        <f t="shared" si="194"/>
        <v>0</v>
      </c>
      <c r="AN281" s="51">
        <f>SUM(AJ281:AM281)</f>
        <v>20000000</v>
      </c>
      <c r="AO281" s="39"/>
      <c r="AP281" s="10"/>
      <c r="AQ281" s="10"/>
      <c r="AR281" s="10"/>
      <c r="AS281" s="10"/>
      <c r="AT281" s="10"/>
      <c r="AU281" s="10"/>
      <c r="AV281" s="10"/>
      <c r="AW281" s="10"/>
      <c r="AY281" s="11">
        <f t="shared" si="179"/>
        <v>0</v>
      </c>
    </row>
    <row r="282" spans="5:56" ht="60" customHeight="1" x14ac:dyDescent="0.2">
      <c r="E282" s="149"/>
      <c r="F282" s="127" t="s">
        <v>353</v>
      </c>
      <c r="G282" s="118">
        <f t="shared" ref="G282:AN282" si="195">SUM(G280:G281)</f>
        <v>3900000</v>
      </c>
      <c r="H282" s="116">
        <f t="shared" si="195"/>
        <v>3900000</v>
      </c>
      <c r="I282" s="115">
        <f t="shared" si="195"/>
        <v>6650000</v>
      </c>
      <c r="J282" s="117">
        <f t="shared" si="195"/>
        <v>6650000</v>
      </c>
      <c r="K282" s="115">
        <f t="shared" si="195"/>
        <v>18945000</v>
      </c>
      <c r="L282" s="117">
        <f t="shared" si="195"/>
        <v>18945000</v>
      </c>
      <c r="M282" s="115">
        <f t="shared" si="195"/>
        <v>72377000</v>
      </c>
      <c r="N282" s="117">
        <f t="shared" si="195"/>
        <v>72373585</v>
      </c>
      <c r="O282" s="115">
        <f t="shared" si="195"/>
        <v>82610000</v>
      </c>
      <c r="P282" s="117">
        <f t="shared" si="195"/>
        <v>77435200</v>
      </c>
      <c r="Q282" s="115">
        <f t="shared" si="195"/>
        <v>10233000</v>
      </c>
      <c r="R282" s="117">
        <f t="shared" si="195"/>
        <v>5061615</v>
      </c>
      <c r="S282" s="118">
        <f t="shared" si="195"/>
        <v>34900000</v>
      </c>
      <c r="T282" s="120">
        <f t="shared" si="195"/>
        <v>0</v>
      </c>
      <c r="U282" s="116">
        <f t="shared" si="195"/>
        <v>34900000</v>
      </c>
      <c r="V282" s="119">
        <f t="shared" si="195"/>
        <v>41800000</v>
      </c>
      <c r="W282" s="115">
        <f t="shared" si="195"/>
        <v>15000000</v>
      </c>
      <c r="X282" s="120">
        <f t="shared" si="195"/>
        <v>0</v>
      </c>
      <c r="Y282" s="120">
        <f t="shared" si="195"/>
        <v>5000000</v>
      </c>
      <c r="Z282" s="120">
        <f t="shared" si="195"/>
        <v>10000000</v>
      </c>
      <c r="AA282" s="120">
        <f t="shared" si="195"/>
        <v>0</v>
      </c>
      <c r="AB282" s="117">
        <f t="shared" si="195"/>
        <v>0</v>
      </c>
      <c r="AC282" s="115">
        <f t="shared" si="195"/>
        <v>26800000</v>
      </c>
      <c r="AD282" s="120">
        <f t="shared" si="195"/>
        <v>0</v>
      </c>
      <c r="AE282" s="120">
        <f t="shared" si="195"/>
        <v>15000000</v>
      </c>
      <c r="AF282" s="116">
        <f t="shared" si="195"/>
        <v>11800000</v>
      </c>
      <c r="AG282" s="116">
        <f t="shared" si="195"/>
        <v>0</v>
      </c>
      <c r="AH282" s="117">
        <f t="shared" si="195"/>
        <v>0</v>
      </c>
      <c r="AI282" s="47">
        <f t="shared" si="195"/>
        <v>0</v>
      </c>
      <c r="AJ282" s="10">
        <f t="shared" si="195"/>
        <v>20000000</v>
      </c>
      <c r="AK282" s="10">
        <f t="shared" si="195"/>
        <v>21800000</v>
      </c>
      <c r="AL282" s="10">
        <f t="shared" si="195"/>
        <v>0</v>
      </c>
      <c r="AM282" s="48">
        <f t="shared" si="195"/>
        <v>0</v>
      </c>
      <c r="AN282" s="52">
        <f t="shared" si="195"/>
        <v>41800000</v>
      </c>
      <c r="AO282" s="39"/>
      <c r="AP282" s="10"/>
      <c r="AQ282" s="10"/>
      <c r="AR282" s="10"/>
      <c r="AS282" s="10"/>
      <c r="AT282" s="10"/>
      <c r="AU282" s="10"/>
      <c r="AV282" s="10"/>
      <c r="AW282" s="10"/>
      <c r="AY282" s="11">
        <f t="shared" si="179"/>
        <v>0</v>
      </c>
    </row>
    <row r="283" spans="5:56" ht="60" customHeight="1" x14ac:dyDescent="0.2">
      <c r="E283" s="151">
        <v>40700</v>
      </c>
      <c r="F283" s="155" t="s">
        <v>144</v>
      </c>
      <c r="G283" s="173"/>
      <c r="H283" s="174"/>
      <c r="I283" s="175"/>
      <c r="J283" s="176"/>
      <c r="K283" s="175"/>
      <c r="L283" s="176"/>
      <c r="M283" s="175"/>
      <c r="N283" s="176"/>
      <c r="O283" s="175"/>
      <c r="P283" s="176"/>
      <c r="Q283" s="175"/>
      <c r="R283" s="176"/>
      <c r="S283" s="156"/>
      <c r="T283" s="160"/>
      <c r="U283" s="157"/>
      <c r="V283" s="161"/>
      <c r="W283" s="158"/>
      <c r="X283" s="160"/>
      <c r="Y283" s="160"/>
      <c r="Z283" s="160"/>
      <c r="AA283" s="160"/>
      <c r="AB283" s="159"/>
      <c r="AC283" s="158"/>
      <c r="AD283" s="160"/>
      <c r="AE283" s="160"/>
      <c r="AF283" s="157"/>
      <c r="AG283" s="157"/>
      <c r="AH283" s="159"/>
      <c r="AI283" s="45"/>
      <c r="AJ283" s="9"/>
      <c r="AK283" s="9"/>
      <c r="AL283" s="14"/>
      <c r="AM283" s="46"/>
      <c r="AN283" s="51"/>
      <c r="AO283" s="36"/>
      <c r="AP283" s="9"/>
      <c r="AQ283" s="9"/>
      <c r="AR283" s="9"/>
      <c r="AS283" s="9"/>
      <c r="AT283" s="9"/>
      <c r="AU283" s="9"/>
      <c r="AV283" s="9"/>
      <c r="AW283" s="10">
        <f t="shared" ref="AW283:AW318" si="196">AP283-AQ283-AV283</f>
        <v>0</v>
      </c>
      <c r="AY283" s="11">
        <f t="shared" si="179"/>
        <v>0</v>
      </c>
    </row>
    <row r="284" spans="5:56" ht="60" customHeight="1" x14ac:dyDescent="0.2">
      <c r="E284" s="151">
        <f>E283+1</f>
        <v>40701</v>
      </c>
      <c r="F284" s="170" t="s">
        <v>145</v>
      </c>
      <c r="G284" s="156">
        <v>3000000</v>
      </c>
      <c r="H284" s="157">
        <f>G284</f>
        <v>3000000</v>
      </c>
      <c r="I284" s="158">
        <v>3800000</v>
      </c>
      <c r="J284" s="159">
        <v>3800000</v>
      </c>
      <c r="K284" s="158">
        <v>5107000</v>
      </c>
      <c r="L284" s="159">
        <v>5106355</v>
      </c>
      <c r="M284" s="158">
        <v>4000000</v>
      </c>
      <c r="N284" s="159">
        <v>4000000</v>
      </c>
      <c r="O284" s="158">
        <v>7695000</v>
      </c>
      <c r="P284" s="159">
        <v>4600000</v>
      </c>
      <c r="Q284" s="165">
        <f>O284-M284</f>
        <v>3695000</v>
      </c>
      <c r="R284" s="166">
        <f>P284-N284</f>
        <v>600000</v>
      </c>
      <c r="S284" s="156">
        <v>600000</v>
      </c>
      <c r="T284" s="160"/>
      <c r="U284" s="157">
        <f>S284</f>
        <v>600000</v>
      </c>
      <c r="V284" s="161">
        <v>11515000</v>
      </c>
      <c r="W284" s="158">
        <v>4000000</v>
      </c>
      <c r="X284" s="160"/>
      <c r="Y284" s="160">
        <f>W284</f>
        <v>4000000</v>
      </c>
      <c r="Z284" s="160"/>
      <c r="AA284" s="160"/>
      <c r="AB284" s="159"/>
      <c r="AC284" s="158">
        <f>V284-W284</f>
        <v>7515000</v>
      </c>
      <c r="AD284" s="160"/>
      <c r="AE284" s="160">
        <f>AC284</f>
        <v>7515000</v>
      </c>
      <c r="AF284" s="157"/>
      <c r="AG284" s="157"/>
      <c r="AH284" s="159"/>
      <c r="AI284" s="35">
        <f t="shared" ref="AI284:AM285" si="197">AD284+X284</f>
        <v>0</v>
      </c>
      <c r="AJ284" s="11">
        <f t="shared" si="197"/>
        <v>11515000</v>
      </c>
      <c r="AK284" s="11">
        <f t="shared" si="197"/>
        <v>0</v>
      </c>
      <c r="AL284" s="11">
        <f t="shared" si="197"/>
        <v>0</v>
      </c>
      <c r="AM284" s="76">
        <f t="shared" si="197"/>
        <v>0</v>
      </c>
      <c r="AN284" s="51">
        <f>SUM(AJ284:AM284)</f>
        <v>11515000</v>
      </c>
      <c r="AO284" s="36"/>
      <c r="AP284" s="9"/>
      <c r="AQ284" s="9"/>
      <c r="AR284" s="9"/>
      <c r="AS284" s="9"/>
      <c r="AT284" s="9"/>
      <c r="AU284" s="9"/>
      <c r="AV284" s="9">
        <f>AU284+AT284+AS284+AR284</f>
        <v>0</v>
      </c>
      <c r="AW284" s="10">
        <f t="shared" si="196"/>
        <v>0</v>
      </c>
      <c r="AY284" s="11">
        <f t="shared" si="179"/>
        <v>0</v>
      </c>
    </row>
    <row r="285" spans="5:56" ht="60" customHeight="1" x14ac:dyDescent="0.2">
      <c r="E285" s="151">
        <f>E284+1</f>
        <v>40702</v>
      </c>
      <c r="F285" s="170" t="s">
        <v>280</v>
      </c>
      <c r="G285" s="156"/>
      <c r="H285" s="157"/>
      <c r="I285" s="158">
        <v>20000</v>
      </c>
      <c r="J285" s="159">
        <v>15000</v>
      </c>
      <c r="K285" s="158"/>
      <c r="L285" s="159"/>
      <c r="M285" s="158">
        <v>50000</v>
      </c>
      <c r="N285" s="159"/>
      <c r="O285" s="158">
        <v>50000</v>
      </c>
      <c r="P285" s="159">
        <v>50000</v>
      </c>
      <c r="Q285" s="165">
        <f>O285-M285</f>
        <v>0</v>
      </c>
      <c r="R285" s="166">
        <f>P285-N285</f>
        <v>50000</v>
      </c>
      <c r="S285" s="156"/>
      <c r="T285" s="160"/>
      <c r="U285" s="157">
        <f>S285</f>
        <v>0</v>
      </c>
      <c r="V285" s="161">
        <v>50000</v>
      </c>
      <c r="W285" s="158">
        <v>0</v>
      </c>
      <c r="X285" s="160"/>
      <c r="Y285" s="160">
        <f>W285</f>
        <v>0</v>
      </c>
      <c r="Z285" s="160"/>
      <c r="AA285" s="160"/>
      <c r="AB285" s="159"/>
      <c r="AC285" s="158">
        <f>V285-W285</f>
        <v>50000</v>
      </c>
      <c r="AD285" s="160"/>
      <c r="AE285" s="160"/>
      <c r="AF285" s="157"/>
      <c r="AG285" s="157">
        <f>AC285</f>
        <v>50000</v>
      </c>
      <c r="AH285" s="159"/>
      <c r="AI285" s="35">
        <f t="shared" si="197"/>
        <v>0</v>
      </c>
      <c r="AJ285" s="11">
        <f t="shared" si="197"/>
        <v>0</v>
      </c>
      <c r="AK285" s="11">
        <f t="shared" si="197"/>
        <v>0</v>
      </c>
      <c r="AL285" s="11">
        <f t="shared" si="197"/>
        <v>50000</v>
      </c>
      <c r="AM285" s="76">
        <f t="shared" si="197"/>
        <v>0</v>
      </c>
      <c r="AN285" s="51">
        <f>SUM(AJ285:AM285)</f>
        <v>50000</v>
      </c>
      <c r="AO285" s="36"/>
      <c r="AP285" s="9"/>
      <c r="AQ285" s="9"/>
      <c r="AR285" s="9"/>
      <c r="AS285" s="9"/>
      <c r="AT285" s="9"/>
      <c r="AU285" s="9"/>
      <c r="AV285" s="9">
        <f>AU285+AT285+AS285+AR285</f>
        <v>0</v>
      </c>
      <c r="AW285" s="10"/>
      <c r="AY285" s="11">
        <f t="shared" si="179"/>
        <v>0</v>
      </c>
    </row>
    <row r="286" spans="5:56" ht="60" customHeight="1" x14ac:dyDescent="0.2">
      <c r="E286" s="149"/>
      <c r="F286" s="127" t="s">
        <v>146</v>
      </c>
      <c r="G286" s="118">
        <f t="shared" ref="G286:AV286" si="198">SUM(G284:G285)</f>
        <v>3000000</v>
      </c>
      <c r="H286" s="116">
        <f t="shared" si="198"/>
        <v>3000000</v>
      </c>
      <c r="I286" s="115">
        <f t="shared" si="198"/>
        <v>3820000</v>
      </c>
      <c r="J286" s="117">
        <f t="shared" si="198"/>
        <v>3815000</v>
      </c>
      <c r="K286" s="115">
        <f t="shared" si="198"/>
        <v>5107000</v>
      </c>
      <c r="L286" s="117">
        <f t="shared" si="198"/>
        <v>5106355</v>
      </c>
      <c r="M286" s="115">
        <f t="shared" si="198"/>
        <v>4050000</v>
      </c>
      <c r="N286" s="117">
        <f t="shared" si="198"/>
        <v>4000000</v>
      </c>
      <c r="O286" s="115">
        <f t="shared" si="198"/>
        <v>7745000</v>
      </c>
      <c r="P286" s="117">
        <f t="shared" si="198"/>
        <v>4650000</v>
      </c>
      <c r="Q286" s="115">
        <f t="shared" si="198"/>
        <v>3695000</v>
      </c>
      <c r="R286" s="117">
        <f t="shared" si="198"/>
        <v>650000</v>
      </c>
      <c r="S286" s="118">
        <f t="shared" si="198"/>
        <v>600000</v>
      </c>
      <c r="T286" s="120">
        <f t="shared" si="198"/>
        <v>0</v>
      </c>
      <c r="U286" s="116">
        <f t="shared" si="198"/>
        <v>600000</v>
      </c>
      <c r="V286" s="119">
        <f t="shared" si="198"/>
        <v>11565000</v>
      </c>
      <c r="W286" s="115">
        <f t="shared" si="198"/>
        <v>4000000</v>
      </c>
      <c r="X286" s="120">
        <f t="shared" si="198"/>
        <v>0</v>
      </c>
      <c r="Y286" s="120">
        <f t="shared" si="198"/>
        <v>4000000</v>
      </c>
      <c r="Z286" s="120">
        <f t="shared" si="198"/>
        <v>0</v>
      </c>
      <c r="AA286" s="120">
        <f t="shared" si="198"/>
        <v>0</v>
      </c>
      <c r="AB286" s="117">
        <f t="shared" si="198"/>
        <v>0</v>
      </c>
      <c r="AC286" s="115">
        <f t="shared" si="198"/>
        <v>7565000</v>
      </c>
      <c r="AD286" s="120">
        <f t="shared" si="198"/>
        <v>0</v>
      </c>
      <c r="AE286" s="120">
        <f t="shared" si="198"/>
        <v>7515000</v>
      </c>
      <c r="AF286" s="116">
        <f t="shared" si="198"/>
        <v>0</v>
      </c>
      <c r="AG286" s="116">
        <f t="shared" si="198"/>
        <v>50000</v>
      </c>
      <c r="AH286" s="117">
        <f t="shared" si="198"/>
        <v>0</v>
      </c>
      <c r="AI286" s="47">
        <f t="shared" si="198"/>
        <v>0</v>
      </c>
      <c r="AJ286" s="10">
        <f t="shared" si="198"/>
        <v>11515000</v>
      </c>
      <c r="AK286" s="10">
        <f t="shared" si="198"/>
        <v>0</v>
      </c>
      <c r="AL286" s="10">
        <f t="shared" si="198"/>
        <v>50000</v>
      </c>
      <c r="AM286" s="48">
        <f t="shared" si="198"/>
        <v>0</v>
      </c>
      <c r="AN286" s="47">
        <f t="shared" si="198"/>
        <v>11565000</v>
      </c>
      <c r="AO286" s="39">
        <f t="shared" si="198"/>
        <v>0</v>
      </c>
      <c r="AP286" s="10">
        <f t="shared" si="198"/>
        <v>0</v>
      </c>
      <c r="AQ286" s="10">
        <f t="shared" si="198"/>
        <v>0</v>
      </c>
      <c r="AR286" s="10">
        <f t="shared" si="198"/>
        <v>0</v>
      </c>
      <c r="AS286" s="10">
        <f t="shared" si="198"/>
        <v>0</v>
      </c>
      <c r="AT286" s="10">
        <f t="shared" si="198"/>
        <v>0</v>
      </c>
      <c r="AU286" s="10">
        <f t="shared" si="198"/>
        <v>0</v>
      </c>
      <c r="AV286" s="10">
        <f t="shared" si="198"/>
        <v>0</v>
      </c>
      <c r="AW286" s="10">
        <f t="shared" si="196"/>
        <v>0</v>
      </c>
      <c r="AY286" s="11">
        <f t="shared" si="179"/>
        <v>0</v>
      </c>
      <c r="BD286" s="61"/>
    </row>
    <row r="287" spans="5:56" ht="60" customHeight="1" x14ac:dyDescent="0.2">
      <c r="E287" s="151">
        <v>48000</v>
      </c>
      <c r="F287" s="155" t="s">
        <v>318</v>
      </c>
      <c r="G287" s="156"/>
      <c r="H287" s="157"/>
      <c r="I287" s="158"/>
      <c r="J287" s="159"/>
      <c r="K287" s="158"/>
      <c r="L287" s="159"/>
      <c r="M287" s="158"/>
      <c r="N287" s="159"/>
      <c r="O287" s="158"/>
      <c r="P287" s="159"/>
      <c r="Q287" s="158"/>
      <c r="R287" s="159"/>
      <c r="S287" s="156"/>
      <c r="T287" s="160"/>
      <c r="U287" s="157"/>
      <c r="V287" s="161"/>
      <c r="W287" s="158"/>
      <c r="X287" s="160"/>
      <c r="Y287" s="160"/>
      <c r="Z287" s="160"/>
      <c r="AA287" s="160"/>
      <c r="AB287" s="159"/>
      <c r="AC287" s="158"/>
      <c r="AD287" s="160"/>
      <c r="AE287" s="160"/>
      <c r="AF287" s="157"/>
      <c r="AG287" s="157"/>
      <c r="AH287" s="159"/>
      <c r="AI287" s="45"/>
      <c r="AJ287" s="9"/>
      <c r="AK287" s="9"/>
      <c r="AL287" s="14"/>
      <c r="AM287" s="46"/>
      <c r="AN287" s="51"/>
      <c r="AO287" s="36"/>
      <c r="AP287" s="9"/>
      <c r="AQ287" s="9"/>
      <c r="AR287" s="9"/>
      <c r="AS287" s="9"/>
      <c r="AT287" s="9"/>
      <c r="AU287" s="9"/>
      <c r="AV287" s="9"/>
      <c r="AW287" s="10">
        <f t="shared" si="196"/>
        <v>0</v>
      </c>
      <c r="AY287" s="11">
        <f t="shared" si="179"/>
        <v>0</v>
      </c>
    </row>
    <row r="288" spans="5:56" ht="60" customHeight="1" x14ac:dyDescent="0.2">
      <c r="E288" s="151">
        <f>E287+1</f>
        <v>48001</v>
      </c>
      <c r="F288" s="170" t="s">
        <v>147</v>
      </c>
      <c r="G288" s="173">
        <v>500000</v>
      </c>
      <c r="H288" s="174">
        <v>500000</v>
      </c>
      <c r="I288" s="175">
        <v>450000</v>
      </c>
      <c r="J288" s="176">
        <f>I288</f>
        <v>450000</v>
      </c>
      <c r="K288" s="175">
        <v>550000</v>
      </c>
      <c r="L288" s="176">
        <v>550000</v>
      </c>
      <c r="M288" s="175">
        <v>550000</v>
      </c>
      <c r="N288" s="176">
        <v>550000</v>
      </c>
      <c r="O288" s="175">
        <v>1235000</v>
      </c>
      <c r="P288" s="176">
        <v>713500</v>
      </c>
      <c r="Q288" s="165">
        <f>O288-M288</f>
        <v>685000</v>
      </c>
      <c r="R288" s="166">
        <f>P288-N288</f>
        <v>163500</v>
      </c>
      <c r="S288" s="156">
        <v>275000</v>
      </c>
      <c r="T288" s="160"/>
      <c r="U288" s="157">
        <f>S288</f>
        <v>275000</v>
      </c>
      <c r="V288" s="161">
        <v>1387000</v>
      </c>
      <c r="W288" s="158">
        <v>1300000</v>
      </c>
      <c r="X288" s="160"/>
      <c r="Y288" s="160"/>
      <c r="Z288" s="160"/>
      <c r="AA288" s="160">
        <f>W288</f>
        <v>1300000</v>
      </c>
      <c r="AB288" s="159"/>
      <c r="AC288" s="158">
        <f t="shared" ref="AC288:AC297" si="199">V288-W288</f>
        <v>87000</v>
      </c>
      <c r="AD288" s="160"/>
      <c r="AE288" s="160"/>
      <c r="AF288" s="157"/>
      <c r="AG288" s="157">
        <f>AC288</f>
        <v>87000</v>
      </c>
      <c r="AH288" s="159"/>
      <c r="AI288" s="35">
        <f t="shared" ref="AI288:AI297" si="200">AD288+X288</f>
        <v>0</v>
      </c>
      <c r="AJ288" s="11">
        <f t="shared" ref="AJ288:AJ297" si="201">AE288+Y288</f>
        <v>0</v>
      </c>
      <c r="AK288" s="11">
        <f t="shared" ref="AK288:AK297" si="202">AF288+Z288</f>
        <v>0</v>
      </c>
      <c r="AL288" s="11">
        <f t="shared" ref="AL288:AL297" si="203">AG288+AA288</f>
        <v>1387000</v>
      </c>
      <c r="AM288" s="76">
        <f t="shared" ref="AM288:AM297" si="204">AH288+AB288</f>
        <v>0</v>
      </c>
      <c r="AN288" s="51">
        <f t="shared" ref="AN288:AN297" si="205">SUM(AJ288:AM288)</f>
        <v>1387000</v>
      </c>
      <c r="AO288" s="36"/>
      <c r="AP288" s="9"/>
      <c r="AQ288" s="9"/>
      <c r="AR288" s="9"/>
      <c r="AS288" s="9"/>
      <c r="AT288" s="9"/>
      <c r="AU288" s="9"/>
      <c r="AV288" s="9">
        <f t="shared" ref="AV288:AV295" si="206">AU288+AT288+AS288+AR288</f>
        <v>0</v>
      </c>
      <c r="AW288" s="10">
        <f t="shared" si="196"/>
        <v>0</v>
      </c>
      <c r="AY288" s="11">
        <f t="shared" si="179"/>
        <v>0</v>
      </c>
    </row>
    <row r="289" spans="5:51" ht="60" customHeight="1" x14ac:dyDescent="0.2">
      <c r="E289" s="151">
        <f t="shared" ref="E289:E297" si="207">E288+1</f>
        <v>48002</v>
      </c>
      <c r="F289" s="170" t="s">
        <v>148</v>
      </c>
      <c r="G289" s="173">
        <v>1300000</v>
      </c>
      <c r="H289" s="174">
        <f>G289</f>
        <v>1300000</v>
      </c>
      <c r="I289" s="175">
        <v>1200000</v>
      </c>
      <c r="J289" s="176">
        <f>I289</f>
        <v>1200000</v>
      </c>
      <c r="K289" s="175">
        <v>1200000</v>
      </c>
      <c r="L289" s="176">
        <v>1200000</v>
      </c>
      <c r="M289" s="175">
        <v>900000</v>
      </c>
      <c r="N289" s="176">
        <v>850000</v>
      </c>
      <c r="O289" s="175">
        <v>1383000</v>
      </c>
      <c r="P289" s="176">
        <v>998500</v>
      </c>
      <c r="Q289" s="165">
        <f t="shared" ref="Q289:R295" si="208">O289-M289</f>
        <v>483000</v>
      </c>
      <c r="R289" s="166">
        <f t="shared" si="208"/>
        <v>148500</v>
      </c>
      <c r="S289" s="156">
        <v>24000</v>
      </c>
      <c r="T289" s="160"/>
      <c r="U289" s="157">
        <f>S289</f>
        <v>24000</v>
      </c>
      <c r="V289" s="161">
        <v>1934000</v>
      </c>
      <c r="W289" s="158">
        <v>1900000</v>
      </c>
      <c r="X289" s="160"/>
      <c r="Y289" s="160"/>
      <c r="Z289" s="160"/>
      <c r="AA289" s="160">
        <f t="shared" ref="AA289:AA297" si="209">W289</f>
        <v>1900000</v>
      </c>
      <c r="AB289" s="159"/>
      <c r="AC289" s="158">
        <f t="shared" si="199"/>
        <v>34000</v>
      </c>
      <c r="AD289" s="160"/>
      <c r="AE289" s="160"/>
      <c r="AF289" s="157"/>
      <c r="AG289" s="157">
        <f t="shared" ref="AG289:AG297" si="210">AC289</f>
        <v>34000</v>
      </c>
      <c r="AH289" s="159"/>
      <c r="AI289" s="35">
        <f t="shared" si="200"/>
        <v>0</v>
      </c>
      <c r="AJ289" s="11">
        <f t="shared" si="201"/>
        <v>0</v>
      </c>
      <c r="AK289" s="11">
        <f t="shared" si="202"/>
        <v>0</v>
      </c>
      <c r="AL289" s="11">
        <f t="shared" si="203"/>
        <v>1934000</v>
      </c>
      <c r="AM289" s="76">
        <f t="shared" si="204"/>
        <v>0</v>
      </c>
      <c r="AN289" s="51">
        <f t="shared" si="205"/>
        <v>1934000</v>
      </c>
      <c r="AO289" s="36"/>
      <c r="AP289" s="9"/>
      <c r="AQ289" s="9"/>
      <c r="AR289" s="9"/>
      <c r="AS289" s="9"/>
      <c r="AT289" s="9"/>
      <c r="AU289" s="9"/>
      <c r="AV289" s="9">
        <f t="shared" si="206"/>
        <v>0</v>
      </c>
      <c r="AW289" s="10">
        <f t="shared" si="196"/>
        <v>0</v>
      </c>
      <c r="AY289" s="11">
        <f t="shared" si="179"/>
        <v>0</v>
      </c>
    </row>
    <row r="290" spans="5:51" ht="60" customHeight="1" x14ac:dyDescent="0.2">
      <c r="E290" s="151">
        <f t="shared" si="207"/>
        <v>48003</v>
      </c>
      <c r="F290" s="170" t="s">
        <v>149</v>
      </c>
      <c r="G290" s="173">
        <v>10000</v>
      </c>
      <c r="H290" s="174">
        <v>3800</v>
      </c>
      <c r="I290" s="175">
        <v>10000</v>
      </c>
      <c r="J290" s="176">
        <v>7500</v>
      </c>
      <c r="K290" s="175">
        <v>10000</v>
      </c>
      <c r="L290" s="176">
        <v>10000</v>
      </c>
      <c r="M290" s="175">
        <v>10000</v>
      </c>
      <c r="N290" s="176">
        <v>10000</v>
      </c>
      <c r="O290" s="175">
        <v>20000</v>
      </c>
      <c r="P290" s="176">
        <v>2500</v>
      </c>
      <c r="Q290" s="165">
        <f t="shared" si="208"/>
        <v>10000</v>
      </c>
      <c r="R290" s="166">
        <f t="shared" si="208"/>
        <v>-7500</v>
      </c>
      <c r="S290" s="156">
        <v>8000</v>
      </c>
      <c r="T290" s="160"/>
      <c r="U290" s="157">
        <f t="shared" ref="U290:U295" si="211">S290</f>
        <v>8000</v>
      </c>
      <c r="V290" s="161">
        <v>20000</v>
      </c>
      <c r="W290" s="158">
        <v>10000</v>
      </c>
      <c r="X290" s="160"/>
      <c r="Y290" s="160"/>
      <c r="Z290" s="160"/>
      <c r="AA290" s="160">
        <f t="shared" si="209"/>
        <v>10000</v>
      </c>
      <c r="AB290" s="159"/>
      <c r="AC290" s="158">
        <f t="shared" si="199"/>
        <v>10000</v>
      </c>
      <c r="AD290" s="160"/>
      <c r="AE290" s="160"/>
      <c r="AF290" s="157"/>
      <c r="AG290" s="157">
        <f t="shared" si="210"/>
        <v>10000</v>
      </c>
      <c r="AH290" s="159"/>
      <c r="AI290" s="35">
        <f t="shared" si="200"/>
        <v>0</v>
      </c>
      <c r="AJ290" s="11">
        <f t="shared" si="201"/>
        <v>0</v>
      </c>
      <c r="AK290" s="11">
        <f t="shared" si="202"/>
        <v>0</v>
      </c>
      <c r="AL290" s="11">
        <f t="shared" si="203"/>
        <v>20000</v>
      </c>
      <c r="AM290" s="76">
        <f t="shared" si="204"/>
        <v>0</v>
      </c>
      <c r="AN290" s="51">
        <f t="shared" si="205"/>
        <v>20000</v>
      </c>
      <c r="AO290" s="36"/>
      <c r="AP290" s="9"/>
      <c r="AQ290" s="9"/>
      <c r="AR290" s="9"/>
      <c r="AS290" s="9"/>
      <c r="AT290" s="9"/>
      <c r="AU290" s="9"/>
      <c r="AV290" s="9">
        <f t="shared" si="206"/>
        <v>0</v>
      </c>
      <c r="AW290" s="10">
        <f t="shared" si="196"/>
        <v>0</v>
      </c>
      <c r="AY290" s="11">
        <f t="shared" si="179"/>
        <v>0</v>
      </c>
    </row>
    <row r="291" spans="5:51" ht="60" customHeight="1" x14ac:dyDescent="0.2">
      <c r="E291" s="151">
        <f t="shared" si="207"/>
        <v>48004</v>
      </c>
      <c r="F291" s="170" t="s">
        <v>150</v>
      </c>
      <c r="G291" s="173">
        <v>80000</v>
      </c>
      <c r="H291" s="174">
        <f>G291</f>
        <v>80000</v>
      </c>
      <c r="I291" s="175">
        <v>100000</v>
      </c>
      <c r="J291" s="176">
        <v>75000</v>
      </c>
      <c r="K291" s="175">
        <v>150000</v>
      </c>
      <c r="L291" s="176">
        <v>150000</v>
      </c>
      <c r="M291" s="175">
        <v>150000</v>
      </c>
      <c r="N291" s="176">
        <v>150000</v>
      </c>
      <c r="O291" s="175">
        <v>331000</v>
      </c>
      <c r="P291" s="176">
        <v>76000</v>
      </c>
      <c r="Q291" s="165">
        <f t="shared" si="208"/>
        <v>181000</v>
      </c>
      <c r="R291" s="166">
        <f t="shared" si="208"/>
        <v>-74000</v>
      </c>
      <c r="S291" s="156">
        <v>108000</v>
      </c>
      <c r="T291" s="160"/>
      <c r="U291" s="157">
        <f t="shared" si="211"/>
        <v>108000</v>
      </c>
      <c r="V291" s="161">
        <v>370000</v>
      </c>
      <c r="W291" s="158">
        <v>200000</v>
      </c>
      <c r="X291" s="160"/>
      <c r="Y291" s="160"/>
      <c r="Z291" s="160"/>
      <c r="AA291" s="160">
        <f t="shared" si="209"/>
        <v>200000</v>
      </c>
      <c r="AB291" s="159"/>
      <c r="AC291" s="158">
        <f t="shared" si="199"/>
        <v>170000</v>
      </c>
      <c r="AD291" s="160"/>
      <c r="AE291" s="160"/>
      <c r="AF291" s="157"/>
      <c r="AG291" s="157">
        <f t="shared" si="210"/>
        <v>170000</v>
      </c>
      <c r="AH291" s="159"/>
      <c r="AI291" s="35">
        <f t="shared" si="200"/>
        <v>0</v>
      </c>
      <c r="AJ291" s="11">
        <f t="shared" si="201"/>
        <v>0</v>
      </c>
      <c r="AK291" s="11">
        <f t="shared" si="202"/>
        <v>0</v>
      </c>
      <c r="AL291" s="11">
        <f t="shared" si="203"/>
        <v>370000</v>
      </c>
      <c r="AM291" s="76">
        <f t="shared" si="204"/>
        <v>0</v>
      </c>
      <c r="AN291" s="51">
        <f t="shared" si="205"/>
        <v>370000</v>
      </c>
      <c r="AO291" s="36"/>
      <c r="AP291" s="9"/>
      <c r="AQ291" s="9"/>
      <c r="AR291" s="9"/>
      <c r="AS291" s="9"/>
      <c r="AT291" s="9"/>
      <c r="AU291" s="9"/>
      <c r="AV291" s="9">
        <f t="shared" si="206"/>
        <v>0</v>
      </c>
      <c r="AW291" s="10">
        <f t="shared" si="196"/>
        <v>0</v>
      </c>
      <c r="AY291" s="11">
        <f t="shared" si="179"/>
        <v>0</v>
      </c>
    </row>
    <row r="292" spans="5:51" ht="60" customHeight="1" x14ac:dyDescent="0.2">
      <c r="E292" s="151">
        <f t="shared" si="207"/>
        <v>48005</v>
      </c>
      <c r="F292" s="170" t="s">
        <v>151</v>
      </c>
      <c r="G292" s="173">
        <v>700000</v>
      </c>
      <c r="H292" s="174">
        <f>G292</f>
        <v>700000</v>
      </c>
      <c r="I292" s="175">
        <v>500000</v>
      </c>
      <c r="J292" s="176">
        <v>350000</v>
      </c>
      <c r="K292" s="175">
        <v>500000</v>
      </c>
      <c r="L292" s="176">
        <v>500000</v>
      </c>
      <c r="M292" s="175">
        <v>500000</v>
      </c>
      <c r="N292" s="176">
        <v>500000</v>
      </c>
      <c r="O292" s="175">
        <v>771000</v>
      </c>
      <c r="P292" s="176">
        <v>452000</v>
      </c>
      <c r="Q292" s="165">
        <f t="shared" si="208"/>
        <v>271000</v>
      </c>
      <c r="R292" s="166">
        <f t="shared" si="208"/>
        <v>-48000</v>
      </c>
      <c r="S292" s="156">
        <v>98000</v>
      </c>
      <c r="T292" s="160"/>
      <c r="U292" s="157">
        <f t="shared" si="211"/>
        <v>98000</v>
      </c>
      <c r="V292" s="161">
        <v>980000</v>
      </c>
      <c r="W292" s="158">
        <v>900000</v>
      </c>
      <c r="X292" s="160"/>
      <c r="Y292" s="160"/>
      <c r="Z292" s="160"/>
      <c r="AA292" s="160">
        <f t="shared" si="209"/>
        <v>900000</v>
      </c>
      <c r="AB292" s="159"/>
      <c r="AC292" s="158">
        <f t="shared" si="199"/>
        <v>80000</v>
      </c>
      <c r="AD292" s="160"/>
      <c r="AE292" s="160"/>
      <c r="AF292" s="157"/>
      <c r="AG292" s="157">
        <f t="shared" si="210"/>
        <v>80000</v>
      </c>
      <c r="AH292" s="159"/>
      <c r="AI292" s="35">
        <f t="shared" si="200"/>
        <v>0</v>
      </c>
      <c r="AJ292" s="11">
        <f t="shared" si="201"/>
        <v>0</v>
      </c>
      <c r="AK292" s="11">
        <f t="shared" si="202"/>
        <v>0</v>
      </c>
      <c r="AL292" s="11">
        <f t="shared" si="203"/>
        <v>980000</v>
      </c>
      <c r="AM292" s="76">
        <f t="shared" si="204"/>
        <v>0</v>
      </c>
      <c r="AN292" s="51">
        <f t="shared" si="205"/>
        <v>980000</v>
      </c>
      <c r="AO292" s="36"/>
      <c r="AP292" s="9"/>
      <c r="AQ292" s="9"/>
      <c r="AR292" s="9"/>
      <c r="AS292" s="9"/>
      <c r="AT292" s="9"/>
      <c r="AU292" s="9"/>
      <c r="AV292" s="9">
        <f t="shared" si="206"/>
        <v>0</v>
      </c>
      <c r="AW292" s="10">
        <f t="shared" si="196"/>
        <v>0</v>
      </c>
      <c r="AY292" s="11">
        <f t="shared" si="179"/>
        <v>0</v>
      </c>
    </row>
    <row r="293" spans="5:51" ht="60" customHeight="1" x14ac:dyDescent="0.2">
      <c r="E293" s="151">
        <f t="shared" si="207"/>
        <v>48006</v>
      </c>
      <c r="F293" s="170" t="s">
        <v>152</v>
      </c>
      <c r="G293" s="173"/>
      <c r="H293" s="174"/>
      <c r="I293" s="175">
        <v>1121000</v>
      </c>
      <c r="J293" s="176">
        <f>I293</f>
        <v>1121000</v>
      </c>
      <c r="K293" s="175">
        <v>1300000</v>
      </c>
      <c r="L293" s="176">
        <v>1300000</v>
      </c>
      <c r="M293" s="175">
        <v>1300000</v>
      </c>
      <c r="N293" s="176"/>
      <c r="O293" s="175"/>
      <c r="P293" s="176"/>
      <c r="Q293" s="165">
        <f t="shared" si="208"/>
        <v>-1300000</v>
      </c>
      <c r="R293" s="166">
        <f t="shared" si="208"/>
        <v>0</v>
      </c>
      <c r="S293" s="156">
        <v>1112000</v>
      </c>
      <c r="T293" s="160"/>
      <c r="U293" s="157">
        <f t="shared" si="211"/>
        <v>1112000</v>
      </c>
      <c r="V293" s="161">
        <v>1301000</v>
      </c>
      <c r="W293" s="158">
        <v>1100000</v>
      </c>
      <c r="X293" s="160"/>
      <c r="Y293" s="160"/>
      <c r="Z293" s="160"/>
      <c r="AA293" s="160">
        <f t="shared" si="209"/>
        <v>1100000</v>
      </c>
      <c r="AB293" s="159"/>
      <c r="AC293" s="158">
        <f t="shared" si="199"/>
        <v>201000</v>
      </c>
      <c r="AD293" s="160"/>
      <c r="AE293" s="160"/>
      <c r="AF293" s="157"/>
      <c r="AG293" s="157">
        <f t="shared" si="210"/>
        <v>201000</v>
      </c>
      <c r="AH293" s="159"/>
      <c r="AI293" s="35">
        <f t="shared" si="200"/>
        <v>0</v>
      </c>
      <c r="AJ293" s="11">
        <f t="shared" si="201"/>
        <v>0</v>
      </c>
      <c r="AK293" s="11">
        <f t="shared" si="202"/>
        <v>0</v>
      </c>
      <c r="AL293" s="11">
        <f t="shared" si="203"/>
        <v>1301000</v>
      </c>
      <c r="AM293" s="76">
        <f t="shared" si="204"/>
        <v>0</v>
      </c>
      <c r="AN293" s="51">
        <f t="shared" si="205"/>
        <v>1301000</v>
      </c>
      <c r="AO293" s="36"/>
      <c r="AP293" s="9"/>
      <c r="AQ293" s="9"/>
      <c r="AR293" s="9"/>
      <c r="AS293" s="9"/>
      <c r="AT293" s="9"/>
      <c r="AU293" s="9"/>
      <c r="AV293" s="9">
        <f t="shared" si="206"/>
        <v>0</v>
      </c>
      <c r="AW293" s="10">
        <f t="shared" si="196"/>
        <v>0</v>
      </c>
      <c r="AY293" s="11">
        <f t="shared" si="179"/>
        <v>0</v>
      </c>
    </row>
    <row r="294" spans="5:51" ht="60" customHeight="1" x14ac:dyDescent="0.2">
      <c r="E294" s="151">
        <f t="shared" si="207"/>
        <v>48007</v>
      </c>
      <c r="F294" s="170" t="s">
        <v>153</v>
      </c>
      <c r="G294" s="173">
        <v>500000</v>
      </c>
      <c r="H294" s="174">
        <v>500000</v>
      </c>
      <c r="I294" s="175"/>
      <c r="J294" s="176"/>
      <c r="K294" s="175">
        <v>500000</v>
      </c>
      <c r="L294" s="176">
        <v>500000</v>
      </c>
      <c r="M294" s="175">
        <v>500000</v>
      </c>
      <c r="N294" s="176">
        <v>500000</v>
      </c>
      <c r="O294" s="175">
        <v>159000</v>
      </c>
      <c r="P294" s="176">
        <v>159000</v>
      </c>
      <c r="Q294" s="165">
        <f t="shared" si="208"/>
        <v>-341000</v>
      </c>
      <c r="R294" s="166">
        <f t="shared" si="208"/>
        <v>-341000</v>
      </c>
      <c r="S294" s="156">
        <v>278000</v>
      </c>
      <c r="T294" s="160"/>
      <c r="U294" s="157">
        <f t="shared" si="211"/>
        <v>278000</v>
      </c>
      <c r="V294" s="161">
        <v>175000</v>
      </c>
      <c r="W294" s="158">
        <v>175000</v>
      </c>
      <c r="X294" s="160"/>
      <c r="Y294" s="160"/>
      <c r="Z294" s="160"/>
      <c r="AA294" s="160">
        <f t="shared" si="209"/>
        <v>175000</v>
      </c>
      <c r="AB294" s="159"/>
      <c r="AC294" s="158">
        <f t="shared" si="199"/>
        <v>0</v>
      </c>
      <c r="AD294" s="160"/>
      <c r="AE294" s="160"/>
      <c r="AF294" s="157"/>
      <c r="AG294" s="157">
        <f t="shared" si="210"/>
        <v>0</v>
      </c>
      <c r="AH294" s="159"/>
      <c r="AI294" s="35">
        <f t="shared" si="200"/>
        <v>0</v>
      </c>
      <c r="AJ294" s="11">
        <f t="shared" si="201"/>
        <v>0</v>
      </c>
      <c r="AK294" s="11">
        <f t="shared" si="202"/>
        <v>0</v>
      </c>
      <c r="AL294" s="11">
        <f t="shared" si="203"/>
        <v>175000</v>
      </c>
      <c r="AM294" s="76">
        <f t="shared" si="204"/>
        <v>0</v>
      </c>
      <c r="AN294" s="51">
        <f t="shared" si="205"/>
        <v>175000</v>
      </c>
      <c r="AO294" s="36"/>
      <c r="AP294" s="9"/>
      <c r="AQ294" s="9"/>
      <c r="AR294" s="9"/>
      <c r="AS294" s="9"/>
      <c r="AT294" s="9"/>
      <c r="AU294" s="9"/>
      <c r="AV294" s="9">
        <f t="shared" si="206"/>
        <v>0</v>
      </c>
      <c r="AW294" s="10">
        <f t="shared" si="196"/>
        <v>0</v>
      </c>
      <c r="AY294" s="11">
        <f t="shared" si="179"/>
        <v>0</v>
      </c>
    </row>
    <row r="295" spans="5:51" ht="60" customHeight="1" x14ac:dyDescent="0.2">
      <c r="E295" s="151">
        <f t="shared" si="207"/>
        <v>48008</v>
      </c>
      <c r="F295" s="170" t="s">
        <v>267</v>
      </c>
      <c r="G295" s="173"/>
      <c r="H295" s="174"/>
      <c r="I295" s="175"/>
      <c r="J295" s="176"/>
      <c r="K295" s="175"/>
      <c r="L295" s="176"/>
      <c r="M295" s="175"/>
      <c r="N295" s="176"/>
      <c r="O295" s="175">
        <v>500000</v>
      </c>
      <c r="P295" s="176">
        <v>250000</v>
      </c>
      <c r="Q295" s="165">
        <f t="shared" si="208"/>
        <v>500000</v>
      </c>
      <c r="R295" s="166">
        <f t="shared" si="208"/>
        <v>250000</v>
      </c>
      <c r="S295" s="156">
        <v>112000</v>
      </c>
      <c r="T295" s="160"/>
      <c r="U295" s="157">
        <f t="shared" si="211"/>
        <v>112000</v>
      </c>
      <c r="V295" s="161">
        <v>300000</v>
      </c>
      <c r="W295" s="158">
        <v>250000</v>
      </c>
      <c r="X295" s="160"/>
      <c r="Y295" s="160"/>
      <c r="Z295" s="160"/>
      <c r="AA295" s="160">
        <f t="shared" si="209"/>
        <v>250000</v>
      </c>
      <c r="AB295" s="159"/>
      <c r="AC295" s="158">
        <f t="shared" si="199"/>
        <v>50000</v>
      </c>
      <c r="AD295" s="160"/>
      <c r="AE295" s="160"/>
      <c r="AF295" s="157"/>
      <c r="AG295" s="157">
        <f t="shared" si="210"/>
        <v>50000</v>
      </c>
      <c r="AH295" s="159"/>
      <c r="AI295" s="35">
        <f t="shared" si="200"/>
        <v>0</v>
      </c>
      <c r="AJ295" s="11">
        <f t="shared" si="201"/>
        <v>0</v>
      </c>
      <c r="AK295" s="11">
        <f t="shared" si="202"/>
        <v>0</v>
      </c>
      <c r="AL295" s="11">
        <f t="shared" si="203"/>
        <v>300000</v>
      </c>
      <c r="AM295" s="76">
        <f t="shared" si="204"/>
        <v>0</v>
      </c>
      <c r="AN295" s="51">
        <f t="shared" si="205"/>
        <v>300000</v>
      </c>
      <c r="AO295" s="36"/>
      <c r="AP295" s="9"/>
      <c r="AQ295" s="9"/>
      <c r="AR295" s="9"/>
      <c r="AS295" s="9"/>
      <c r="AT295" s="9"/>
      <c r="AU295" s="9"/>
      <c r="AV295" s="9">
        <f t="shared" si="206"/>
        <v>0</v>
      </c>
      <c r="AW295" s="10">
        <f t="shared" si="196"/>
        <v>0</v>
      </c>
      <c r="AY295" s="11">
        <f t="shared" si="179"/>
        <v>0</v>
      </c>
    </row>
    <row r="296" spans="5:51" ht="60" customHeight="1" x14ac:dyDescent="0.2">
      <c r="E296" s="151">
        <f t="shared" si="207"/>
        <v>48009</v>
      </c>
      <c r="F296" s="170" t="s">
        <v>458</v>
      </c>
      <c r="G296" s="173"/>
      <c r="H296" s="174"/>
      <c r="I296" s="175"/>
      <c r="J296" s="176"/>
      <c r="K296" s="175"/>
      <c r="L296" s="176"/>
      <c r="M296" s="175"/>
      <c r="N296" s="176"/>
      <c r="O296" s="175"/>
      <c r="P296" s="176"/>
      <c r="Q296" s="165"/>
      <c r="R296" s="166"/>
      <c r="S296" s="156"/>
      <c r="T296" s="160"/>
      <c r="U296" s="157"/>
      <c r="V296" s="161">
        <v>5000</v>
      </c>
      <c r="W296" s="158">
        <v>5000</v>
      </c>
      <c r="X296" s="160"/>
      <c r="Y296" s="160"/>
      <c r="Z296" s="160"/>
      <c r="AA296" s="160">
        <f t="shared" si="209"/>
        <v>5000</v>
      </c>
      <c r="AB296" s="159"/>
      <c r="AC296" s="158">
        <f t="shared" si="199"/>
        <v>0</v>
      </c>
      <c r="AD296" s="160"/>
      <c r="AE296" s="160"/>
      <c r="AF296" s="157"/>
      <c r="AG296" s="157">
        <f t="shared" si="210"/>
        <v>0</v>
      </c>
      <c r="AH296" s="159"/>
      <c r="AI296" s="35">
        <f t="shared" si="200"/>
        <v>0</v>
      </c>
      <c r="AJ296" s="11">
        <f t="shared" si="201"/>
        <v>0</v>
      </c>
      <c r="AK296" s="11">
        <f t="shared" si="202"/>
        <v>0</v>
      </c>
      <c r="AL296" s="11">
        <f t="shared" si="203"/>
        <v>5000</v>
      </c>
      <c r="AM296" s="76">
        <f t="shared" si="204"/>
        <v>0</v>
      </c>
      <c r="AN296" s="51">
        <f t="shared" si="205"/>
        <v>5000</v>
      </c>
      <c r="AO296" s="36"/>
      <c r="AP296" s="9"/>
      <c r="AQ296" s="9"/>
      <c r="AR296" s="9"/>
      <c r="AS296" s="9"/>
      <c r="AT296" s="9"/>
      <c r="AU296" s="9"/>
      <c r="AV296" s="9"/>
      <c r="AW296" s="10"/>
      <c r="AY296" s="11">
        <f t="shared" si="179"/>
        <v>0</v>
      </c>
    </row>
    <row r="297" spans="5:51" ht="60" customHeight="1" x14ac:dyDescent="0.2">
      <c r="E297" s="151">
        <f t="shared" si="207"/>
        <v>48010</v>
      </c>
      <c r="F297" s="170" t="s">
        <v>526</v>
      </c>
      <c r="G297" s="173"/>
      <c r="H297" s="174"/>
      <c r="I297" s="175"/>
      <c r="J297" s="176"/>
      <c r="K297" s="175"/>
      <c r="L297" s="176"/>
      <c r="M297" s="175"/>
      <c r="N297" s="176"/>
      <c r="O297" s="175"/>
      <c r="P297" s="176"/>
      <c r="Q297" s="165"/>
      <c r="R297" s="166"/>
      <c r="S297" s="156"/>
      <c r="T297" s="160"/>
      <c r="U297" s="157"/>
      <c r="V297" s="161">
        <v>782000</v>
      </c>
      <c r="W297" s="158">
        <v>782000</v>
      </c>
      <c r="X297" s="160"/>
      <c r="Y297" s="160"/>
      <c r="Z297" s="160"/>
      <c r="AA297" s="160">
        <f t="shared" si="209"/>
        <v>782000</v>
      </c>
      <c r="AB297" s="159"/>
      <c r="AC297" s="158">
        <f t="shared" si="199"/>
        <v>0</v>
      </c>
      <c r="AD297" s="160"/>
      <c r="AE297" s="160"/>
      <c r="AF297" s="157"/>
      <c r="AG297" s="157">
        <f t="shared" si="210"/>
        <v>0</v>
      </c>
      <c r="AH297" s="159"/>
      <c r="AI297" s="35">
        <f t="shared" si="200"/>
        <v>0</v>
      </c>
      <c r="AJ297" s="11">
        <f t="shared" si="201"/>
        <v>0</v>
      </c>
      <c r="AK297" s="11">
        <f t="shared" si="202"/>
        <v>0</v>
      </c>
      <c r="AL297" s="11">
        <f t="shared" si="203"/>
        <v>782000</v>
      </c>
      <c r="AM297" s="76">
        <f t="shared" si="204"/>
        <v>0</v>
      </c>
      <c r="AN297" s="51">
        <f t="shared" si="205"/>
        <v>782000</v>
      </c>
      <c r="AO297" s="36"/>
      <c r="AP297" s="9"/>
      <c r="AQ297" s="9"/>
      <c r="AR297" s="9"/>
      <c r="AS297" s="9"/>
      <c r="AT297" s="9"/>
      <c r="AU297" s="9"/>
      <c r="AV297" s="9"/>
      <c r="AW297" s="10"/>
      <c r="AY297" s="11">
        <f t="shared" si="179"/>
        <v>0</v>
      </c>
    </row>
    <row r="298" spans="5:51" ht="60" customHeight="1" x14ac:dyDescent="0.2">
      <c r="E298" s="149"/>
      <c r="F298" s="127" t="s">
        <v>154</v>
      </c>
      <c r="G298" s="118">
        <f t="shared" ref="G298:N298" si="212">SUM(G288:G295)</f>
        <v>3090000</v>
      </c>
      <c r="H298" s="116">
        <f t="shared" si="212"/>
        <v>3083800</v>
      </c>
      <c r="I298" s="115">
        <f t="shared" si="212"/>
        <v>3381000</v>
      </c>
      <c r="J298" s="117">
        <f t="shared" si="212"/>
        <v>3203500</v>
      </c>
      <c r="K298" s="115">
        <f t="shared" si="212"/>
        <v>4210000</v>
      </c>
      <c r="L298" s="117">
        <f t="shared" si="212"/>
        <v>4210000</v>
      </c>
      <c r="M298" s="115">
        <f t="shared" si="212"/>
        <v>3910000</v>
      </c>
      <c r="N298" s="117">
        <f t="shared" si="212"/>
        <v>2560000</v>
      </c>
      <c r="O298" s="115">
        <f t="shared" ref="O298:AW298" si="213">SUM(O288:O297)</f>
        <v>4399000</v>
      </c>
      <c r="P298" s="117">
        <f t="shared" si="213"/>
        <v>2651500</v>
      </c>
      <c r="Q298" s="115">
        <f t="shared" si="213"/>
        <v>489000</v>
      </c>
      <c r="R298" s="117">
        <f t="shared" si="213"/>
        <v>91500</v>
      </c>
      <c r="S298" s="118">
        <f t="shared" si="213"/>
        <v>2015000</v>
      </c>
      <c r="T298" s="120">
        <f t="shared" si="213"/>
        <v>0</v>
      </c>
      <c r="U298" s="116">
        <f t="shared" si="213"/>
        <v>2015000</v>
      </c>
      <c r="V298" s="119">
        <f t="shared" si="213"/>
        <v>7254000</v>
      </c>
      <c r="W298" s="115">
        <f t="shared" si="213"/>
        <v>6622000</v>
      </c>
      <c r="X298" s="120">
        <f t="shared" si="213"/>
        <v>0</v>
      </c>
      <c r="Y298" s="120">
        <f t="shared" si="213"/>
        <v>0</v>
      </c>
      <c r="Z298" s="120">
        <f t="shared" si="213"/>
        <v>0</v>
      </c>
      <c r="AA298" s="120">
        <f t="shared" si="213"/>
        <v>6622000</v>
      </c>
      <c r="AB298" s="117">
        <f t="shared" si="213"/>
        <v>0</v>
      </c>
      <c r="AC298" s="115">
        <f t="shared" si="213"/>
        <v>632000</v>
      </c>
      <c r="AD298" s="120">
        <f t="shared" si="213"/>
        <v>0</v>
      </c>
      <c r="AE298" s="120">
        <f t="shared" si="213"/>
        <v>0</v>
      </c>
      <c r="AF298" s="116">
        <f t="shared" si="213"/>
        <v>0</v>
      </c>
      <c r="AG298" s="116">
        <f t="shared" si="213"/>
        <v>632000</v>
      </c>
      <c r="AH298" s="117">
        <f t="shared" si="213"/>
        <v>0</v>
      </c>
      <c r="AI298" s="47">
        <f t="shared" si="213"/>
        <v>0</v>
      </c>
      <c r="AJ298" s="10">
        <f t="shared" si="213"/>
        <v>0</v>
      </c>
      <c r="AK298" s="10">
        <f t="shared" si="213"/>
        <v>0</v>
      </c>
      <c r="AL298" s="10">
        <f t="shared" si="213"/>
        <v>7254000</v>
      </c>
      <c r="AM298" s="10">
        <f t="shared" si="213"/>
        <v>0</v>
      </c>
      <c r="AN298" s="48">
        <f t="shared" si="213"/>
        <v>7254000</v>
      </c>
      <c r="AO298" s="47">
        <f t="shared" si="213"/>
        <v>0</v>
      </c>
      <c r="AP298" s="47">
        <f t="shared" si="213"/>
        <v>0</v>
      </c>
      <c r="AQ298" s="47">
        <f t="shared" si="213"/>
        <v>0</v>
      </c>
      <c r="AR298" s="47">
        <f t="shared" si="213"/>
        <v>0</v>
      </c>
      <c r="AS298" s="47">
        <f t="shared" si="213"/>
        <v>0</v>
      </c>
      <c r="AT298" s="47">
        <f t="shared" si="213"/>
        <v>0</v>
      </c>
      <c r="AU298" s="47">
        <f t="shared" si="213"/>
        <v>0</v>
      </c>
      <c r="AV298" s="47">
        <f t="shared" si="213"/>
        <v>0</v>
      </c>
      <c r="AW298" s="47">
        <f t="shared" si="213"/>
        <v>0</v>
      </c>
      <c r="AY298" s="11">
        <f t="shared" si="179"/>
        <v>0</v>
      </c>
    </row>
    <row r="299" spans="5:51" ht="60" customHeight="1" x14ac:dyDescent="0.2">
      <c r="E299" s="151">
        <v>40900</v>
      </c>
      <c r="F299" s="155" t="s">
        <v>155</v>
      </c>
      <c r="G299" s="173"/>
      <c r="H299" s="174"/>
      <c r="I299" s="175"/>
      <c r="J299" s="176"/>
      <c r="K299" s="175"/>
      <c r="L299" s="176"/>
      <c r="M299" s="175"/>
      <c r="N299" s="176"/>
      <c r="O299" s="175"/>
      <c r="P299" s="176"/>
      <c r="Q299" s="175"/>
      <c r="R299" s="176"/>
      <c r="S299" s="156"/>
      <c r="T299" s="160"/>
      <c r="U299" s="157"/>
      <c r="V299" s="161"/>
      <c r="W299" s="158"/>
      <c r="X299" s="160"/>
      <c r="Y299" s="160"/>
      <c r="Z299" s="160"/>
      <c r="AA299" s="160"/>
      <c r="AB299" s="159"/>
      <c r="AC299" s="158"/>
      <c r="AD299" s="160"/>
      <c r="AE299" s="160"/>
      <c r="AF299" s="157"/>
      <c r="AG299" s="157"/>
      <c r="AH299" s="159"/>
      <c r="AI299" s="45"/>
      <c r="AJ299" s="9"/>
      <c r="AK299" s="9"/>
      <c r="AL299" s="14"/>
      <c r="AM299" s="46"/>
      <c r="AN299" s="50"/>
      <c r="AO299" s="36"/>
      <c r="AP299" s="9"/>
      <c r="AQ299" s="9"/>
      <c r="AR299" s="9"/>
      <c r="AS299" s="9"/>
      <c r="AT299" s="9"/>
      <c r="AU299" s="9"/>
      <c r="AV299" s="9"/>
      <c r="AW299" s="10">
        <f t="shared" si="196"/>
        <v>0</v>
      </c>
      <c r="AY299" s="11">
        <f t="shared" si="179"/>
        <v>0</v>
      </c>
    </row>
    <row r="300" spans="5:51" ht="60" customHeight="1" x14ac:dyDescent="0.2">
      <c r="E300" s="151">
        <f t="shared" ref="E300:E334" si="214">+E299+1</f>
        <v>40901</v>
      </c>
      <c r="F300" s="170" t="s">
        <v>156</v>
      </c>
      <c r="G300" s="173">
        <v>150000</v>
      </c>
      <c r="H300" s="174">
        <f>G300</f>
        <v>150000</v>
      </c>
      <c r="I300" s="175">
        <v>2700000</v>
      </c>
      <c r="J300" s="176">
        <f>I300</f>
        <v>2700000</v>
      </c>
      <c r="K300" s="175">
        <f>2500000-250000</f>
        <v>2250000</v>
      </c>
      <c r="L300" s="176">
        <v>2250000</v>
      </c>
      <c r="M300" s="175">
        <v>1244000</v>
      </c>
      <c r="N300" s="176">
        <v>1244000</v>
      </c>
      <c r="O300" s="175">
        <v>1940000</v>
      </c>
      <c r="P300" s="176">
        <v>270000</v>
      </c>
      <c r="Q300" s="165">
        <f>O300-M300</f>
        <v>696000</v>
      </c>
      <c r="R300" s="166">
        <f>P300-N300</f>
        <v>-974000</v>
      </c>
      <c r="S300" s="173">
        <v>68000</v>
      </c>
      <c r="T300" s="181"/>
      <c r="U300" s="157">
        <f>S300</f>
        <v>68000</v>
      </c>
      <c r="V300" s="182">
        <v>1000000</v>
      </c>
      <c r="W300" s="175">
        <v>500000</v>
      </c>
      <c r="X300" s="181"/>
      <c r="Y300" s="181"/>
      <c r="Z300" s="181"/>
      <c r="AA300" s="181">
        <f>W300</f>
        <v>500000</v>
      </c>
      <c r="AB300" s="176"/>
      <c r="AC300" s="158">
        <f t="shared" ref="AC300:AC333" si="215">V300-W300</f>
        <v>500000</v>
      </c>
      <c r="AD300" s="181"/>
      <c r="AE300" s="181"/>
      <c r="AF300" s="174"/>
      <c r="AG300" s="174">
        <f>AC300</f>
        <v>500000</v>
      </c>
      <c r="AH300" s="176"/>
      <c r="AI300" s="35">
        <f t="shared" ref="AI300:AI334" si="216">AD300+X300</f>
        <v>0</v>
      </c>
      <c r="AJ300" s="11">
        <f t="shared" ref="AJ300:AJ334" si="217">AE300+Y300</f>
        <v>0</v>
      </c>
      <c r="AK300" s="11">
        <f t="shared" ref="AK300:AK334" si="218">AF300+Z300</f>
        <v>0</v>
      </c>
      <c r="AL300" s="11">
        <f t="shared" ref="AL300:AL334" si="219">AG300+AA300</f>
        <v>1000000</v>
      </c>
      <c r="AM300" s="76">
        <f t="shared" ref="AM300:AM334" si="220">AH300+AB300</f>
        <v>0</v>
      </c>
      <c r="AN300" s="51">
        <f t="shared" ref="AN300:AN334" si="221">SUM(AJ300:AM300)</f>
        <v>1000000</v>
      </c>
      <c r="AO300" s="41"/>
      <c r="AP300" s="14"/>
      <c r="AQ300" s="14"/>
      <c r="AR300" s="14"/>
      <c r="AS300" s="14"/>
      <c r="AT300" s="14"/>
      <c r="AU300" s="14"/>
      <c r="AV300" s="9">
        <f t="shared" ref="AV300:AV313" si="222">AU300+AT300+AS300+AR300</f>
        <v>0</v>
      </c>
      <c r="AW300" s="10">
        <f t="shared" si="196"/>
        <v>0</v>
      </c>
      <c r="AY300" s="11">
        <f t="shared" si="179"/>
        <v>0</v>
      </c>
    </row>
    <row r="301" spans="5:51" ht="60" customHeight="1" x14ac:dyDescent="0.2">
      <c r="E301" s="151">
        <f t="shared" si="214"/>
        <v>40902</v>
      </c>
      <c r="F301" s="170" t="s">
        <v>354</v>
      </c>
      <c r="G301" s="173">
        <v>1500000</v>
      </c>
      <c r="H301" s="174">
        <v>1584231</v>
      </c>
      <c r="I301" s="175">
        <v>5000000</v>
      </c>
      <c r="J301" s="176">
        <f>I301</f>
        <v>5000000</v>
      </c>
      <c r="K301" s="175">
        <v>6572000</v>
      </c>
      <c r="L301" s="176">
        <v>6572000</v>
      </c>
      <c r="M301" s="175">
        <v>7000000</v>
      </c>
      <c r="N301" s="176">
        <v>7000000</v>
      </c>
      <c r="O301" s="175">
        <v>22000000</v>
      </c>
      <c r="P301" s="176">
        <v>8890000</v>
      </c>
      <c r="Q301" s="165">
        <f t="shared" ref="Q301:R329" si="223">O301-M301</f>
        <v>15000000</v>
      </c>
      <c r="R301" s="166">
        <f t="shared" si="223"/>
        <v>1890000</v>
      </c>
      <c r="S301" s="173">
        <v>5070000</v>
      </c>
      <c r="T301" s="181">
        <f>3300000+276000+271000</f>
        <v>3847000</v>
      </c>
      <c r="U301" s="157">
        <f>S301-T301</f>
        <v>1223000</v>
      </c>
      <c r="V301" s="182">
        <v>5901000</v>
      </c>
      <c r="W301" s="175">
        <v>1650000</v>
      </c>
      <c r="X301" s="181"/>
      <c r="Y301" s="181"/>
      <c r="Z301" s="181">
        <f>W301</f>
        <v>1650000</v>
      </c>
      <c r="AA301" s="181"/>
      <c r="AB301" s="176"/>
      <c r="AC301" s="158">
        <f t="shared" si="215"/>
        <v>4251000</v>
      </c>
      <c r="AD301" s="181"/>
      <c r="AE301" s="181"/>
      <c r="AF301" s="174">
        <f>AC301</f>
        <v>4251000</v>
      </c>
      <c r="AG301" s="174"/>
      <c r="AH301" s="176"/>
      <c r="AI301" s="35">
        <f t="shared" si="216"/>
        <v>0</v>
      </c>
      <c r="AJ301" s="11">
        <f t="shared" si="217"/>
        <v>0</v>
      </c>
      <c r="AK301" s="11">
        <f t="shared" si="218"/>
        <v>5901000</v>
      </c>
      <c r="AL301" s="11">
        <f t="shared" si="219"/>
        <v>0</v>
      </c>
      <c r="AM301" s="76">
        <f t="shared" si="220"/>
        <v>0</v>
      </c>
      <c r="AN301" s="51">
        <f t="shared" si="221"/>
        <v>5901000</v>
      </c>
      <c r="AO301" s="41"/>
      <c r="AP301" s="14"/>
      <c r="AQ301" s="14"/>
      <c r="AR301" s="14"/>
      <c r="AS301" s="14"/>
      <c r="AT301" s="14"/>
      <c r="AU301" s="14"/>
      <c r="AV301" s="9">
        <f t="shared" si="222"/>
        <v>0</v>
      </c>
      <c r="AW301" s="10">
        <f t="shared" si="196"/>
        <v>0</v>
      </c>
      <c r="AY301" s="11">
        <f t="shared" si="179"/>
        <v>0</v>
      </c>
    </row>
    <row r="302" spans="5:51" ht="60" customHeight="1" x14ac:dyDescent="0.2">
      <c r="E302" s="151">
        <f t="shared" si="214"/>
        <v>40903</v>
      </c>
      <c r="F302" s="170" t="s">
        <v>517</v>
      </c>
      <c r="G302" s="173"/>
      <c r="H302" s="174"/>
      <c r="I302" s="175"/>
      <c r="J302" s="176"/>
      <c r="K302" s="175"/>
      <c r="L302" s="176"/>
      <c r="M302" s="175"/>
      <c r="N302" s="176"/>
      <c r="O302" s="175"/>
      <c r="P302" s="176"/>
      <c r="Q302" s="165"/>
      <c r="R302" s="166"/>
      <c r="S302" s="173"/>
      <c r="T302" s="181"/>
      <c r="U302" s="157"/>
      <c r="V302" s="182">
        <v>9000000</v>
      </c>
      <c r="W302" s="175">
        <f>V302</f>
        <v>9000000</v>
      </c>
      <c r="X302" s="181">
        <f>W302</f>
        <v>9000000</v>
      </c>
      <c r="Y302" s="181"/>
      <c r="Z302" s="181"/>
      <c r="AA302" s="181"/>
      <c r="AB302" s="176"/>
      <c r="AC302" s="158">
        <f t="shared" si="215"/>
        <v>0</v>
      </c>
      <c r="AD302" s="181"/>
      <c r="AE302" s="181"/>
      <c r="AF302" s="174"/>
      <c r="AG302" s="174"/>
      <c r="AH302" s="176"/>
      <c r="AI302" s="35">
        <f t="shared" si="216"/>
        <v>9000000</v>
      </c>
      <c r="AJ302" s="11">
        <f t="shared" si="217"/>
        <v>0</v>
      </c>
      <c r="AK302" s="11">
        <f t="shared" si="218"/>
        <v>0</v>
      </c>
      <c r="AL302" s="11">
        <f t="shared" si="219"/>
        <v>0</v>
      </c>
      <c r="AM302" s="76">
        <f t="shared" si="220"/>
        <v>0</v>
      </c>
      <c r="AN302" s="51">
        <f t="shared" si="221"/>
        <v>0</v>
      </c>
      <c r="AO302" s="41"/>
      <c r="AP302" s="14"/>
      <c r="AQ302" s="14"/>
      <c r="AR302" s="14"/>
      <c r="AS302" s="14"/>
      <c r="AT302" s="14"/>
      <c r="AU302" s="14"/>
      <c r="AV302" s="9"/>
      <c r="AW302" s="10"/>
      <c r="AY302" s="11"/>
    </row>
    <row r="303" spans="5:51" ht="60" customHeight="1" x14ac:dyDescent="0.2">
      <c r="E303" s="151">
        <f t="shared" si="214"/>
        <v>40904</v>
      </c>
      <c r="F303" s="170" t="s">
        <v>268</v>
      </c>
      <c r="G303" s="173">
        <v>1200000</v>
      </c>
      <c r="H303" s="174">
        <f>G303</f>
        <v>1200000</v>
      </c>
      <c r="I303" s="175"/>
      <c r="J303" s="176"/>
      <c r="K303" s="175">
        <v>500000</v>
      </c>
      <c r="L303" s="176">
        <v>500000</v>
      </c>
      <c r="M303" s="175">
        <v>800000</v>
      </c>
      <c r="N303" s="176">
        <v>800000</v>
      </c>
      <c r="O303" s="175">
        <v>1080000</v>
      </c>
      <c r="P303" s="176">
        <v>200000</v>
      </c>
      <c r="Q303" s="165">
        <f t="shared" si="223"/>
        <v>280000</v>
      </c>
      <c r="R303" s="166">
        <f t="shared" si="223"/>
        <v>-600000</v>
      </c>
      <c r="S303" s="173">
        <v>60000</v>
      </c>
      <c r="T303" s="181"/>
      <c r="U303" s="157">
        <f>S303</f>
        <v>60000</v>
      </c>
      <c r="V303" s="182">
        <v>1200000</v>
      </c>
      <c r="W303" s="175">
        <v>600000</v>
      </c>
      <c r="X303" s="181"/>
      <c r="Y303" s="181"/>
      <c r="Z303" s="181"/>
      <c r="AA303" s="181">
        <f>W303</f>
        <v>600000</v>
      </c>
      <c r="AB303" s="176"/>
      <c r="AC303" s="158">
        <f t="shared" si="215"/>
        <v>600000</v>
      </c>
      <c r="AD303" s="181"/>
      <c r="AE303" s="181"/>
      <c r="AF303" s="174"/>
      <c r="AG303" s="174">
        <f>AC303</f>
        <v>600000</v>
      </c>
      <c r="AH303" s="176"/>
      <c r="AI303" s="35">
        <f t="shared" si="216"/>
        <v>0</v>
      </c>
      <c r="AJ303" s="11">
        <f t="shared" si="217"/>
        <v>0</v>
      </c>
      <c r="AK303" s="11">
        <f t="shared" si="218"/>
        <v>0</v>
      </c>
      <c r="AL303" s="11">
        <f t="shared" si="219"/>
        <v>1200000</v>
      </c>
      <c r="AM303" s="76">
        <f t="shared" si="220"/>
        <v>0</v>
      </c>
      <c r="AN303" s="51">
        <f t="shared" si="221"/>
        <v>1200000</v>
      </c>
      <c r="AO303" s="41"/>
      <c r="AP303" s="14"/>
      <c r="AQ303" s="14"/>
      <c r="AR303" s="14"/>
      <c r="AS303" s="14"/>
      <c r="AT303" s="14"/>
      <c r="AU303" s="14"/>
      <c r="AV303" s="9">
        <f t="shared" si="222"/>
        <v>0</v>
      </c>
      <c r="AW303" s="10">
        <f t="shared" si="196"/>
        <v>0</v>
      </c>
      <c r="AY303" s="11">
        <f t="shared" ref="AY303:AY333" si="224">V303-W303-AC303</f>
        <v>0</v>
      </c>
    </row>
    <row r="304" spans="5:51" ht="60" customHeight="1" x14ac:dyDescent="0.2">
      <c r="E304" s="151">
        <f t="shared" si="214"/>
        <v>40905</v>
      </c>
      <c r="F304" s="170" t="s">
        <v>319</v>
      </c>
      <c r="G304" s="173">
        <v>100000</v>
      </c>
      <c r="H304" s="174">
        <f>G304</f>
        <v>100000</v>
      </c>
      <c r="I304" s="175">
        <v>1100000</v>
      </c>
      <c r="J304" s="176">
        <f>I304</f>
        <v>1100000</v>
      </c>
      <c r="K304" s="175">
        <f>900000-450000</f>
        <v>450000</v>
      </c>
      <c r="L304" s="176">
        <v>450000</v>
      </c>
      <c r="M304" s="175">
        <v>450000</v>
      </c>
      <c r="N304" s="176">
        <v>450000</v>
      </c>
      <c r="O304" s="175">
        <v>474000</v>
      </c>
      <c r="P304" s="176">
        <v>474000</v>
      </c>
      <c r="Q304" s="165">
        <f t="shared" si="223"/>
        <v>24000</v>
      </c>
      <c r="R304" s="166">
        <f t="shared" si="223"/>
        <v>24000</v>
      </c>
      <c r="S304" s="173">
        <v>200000</v>
      </c>
      <c r="T304" s="181"/>
      <c r="U304" s="157">
        <f>S304</f>
        <v>200000</v>
      </c>
      <c r="V304" s="182">
        <v>150000</v>
      </c>
      <c r="W304" s="175">
        <v>100000</v>
      </c>
      <c r="X304" s="181"/>
      <c r="Y304" s="181"/>
      <c r="Z304" s="181"/>
      <c r="AA304" s="181">
        <f>W304</f>
        <v>100000</v>
      </c>
      <c r="AB304" s="176"/>
      <c r="AC304" s="158">
        <f t="shared" si="215"/>
        <v>50000</v>
      </c>
      <c r="AD304" s="181"/>
      <c r="AE304" s="181"/>
      <c r="AF304" s="174"/>
      <c r="AG304" s="174">
        <f>AC304</f>
        <v>50000</v>
      </c>
      <c r="AH304" s="176"/>
      <c r="AI304" s="35">
        <f t="shared" si="216"/>
        <v>0</v>
      </c>
      <c r="AJ304" s="11">
        <f t="shared" si="217"/>
        <v>0</v>
      </c>
      <c r="AK304" s="11">
        <f t="shared" si="218"/>
        <v>0</v>
      </c>
      <c r="AL304" s="11">
        <f t="shared" si="219"/>
        <v>150000</v>
      </c>
      <c r="AM304" s="76">
        <f t="shared" si="220"/>
        <v>0</v>
      </c>
      <c r="AN304" s="51">
        <f t="shared" si="221"/>
        <v>150000</v>
      </c>
      <c r="AO304" s="41"/>
      <c r="AP304" s="14"/>
      <c r="AQ304" s="14"/>
      <c r="AR304" s="14"/>
      <c r="AS304" s="14"/>
      <c r="AT304" s="14"/>
      <c r="AU304" s="14"/>
      <c r="AV304" s="9">
        <f t="shared" si="222"/>
        <v>0</v>
      </c>
      <c r="AW304" s="10">
        <f t="shared" si="196"/>
        <v>0</v>
      </c>
      <c r="AY304" s="11">
        <f t="shared" si="224"/>
        <v>0</v>
      </c>
    </row>
    <row r="305" spans="5:51" ht="60" customHeight="1" x14ac:dyDescent="0.2">
      <c r="E305" s="151">
        <f t="shared" si="214"/>
        <v>40906</v>
      </c>
      <c r="F305" s="170" t="s">
        <v>157</v>
      </c>
      <c r="G305" s="173"/>
      <c r="H305" s="174"/>
      <c r="I305" s="175">
        <v>1600000</v>
      </c>
      <c r="J305" s="176">
        <f>I305</f>
        <v>1600000</v>
      </c>
      <c r="K305" s="175">
        <v>1500000</v>
      </c>
      <c r="L305" s="176">
        <v>1500000</v>
      </c>
      <c r="M305" s="175">
        <v>2000000</v>
      </c>
      <c r="N305" s="176">
        <v>2000000</v>
      </c>
      <c r="O305" s="175">
        <v>2300000</v>
      </c>
      <c r="P305" s="176">
        <v>2300000</v>
      </c>
      <c r="Q305" s="165">
        <f t="shared" si="223"/>
        <v>300000</v>
      </c>
      <c r="R305" s="166">
        <f t="shared" si="223"/>
        <v>300000</v>
      </c>
      <c r="S305" s="173">
        <v>313000</v>
      </c>
      <c r="T305" s="181"/>
      <c r="U305" s="164">
        <f>S305</f>
        <v>313000</v>
      </c>
      <c r="V305" s="182">
        <v>1970000</v>
      </c>
      <c r="W305" s="175">
        <v>0</v>
      </c>
      <c r="X305" s="181"/>
      <c r="Y305" s="181">
        <f>W305</f>
        <v>0</v>
      </c>
      <c r="Z305" s="181"/>
      <c r="AA305" s="181"/>
      <c r="AB305" s="176"/>
      <c r="AC305" s="158">
        <f t="shared" si="215"/>
        <v>1970000</v>
      </c>
      <c r="AD305" s="181"/>
      <c r="AE305" s="181"/>
      <c r="AF305" s="174"/>
      <c r="AG305" s="174">
        <f>AC305</f>
        <v>1970000</v>
      </c>
      <c r="AH305" s="176"/>
      <c r="AI305" s="35">
        <f t="shared" si="216"/>
        <v>0</v>
      </c>
      <c r="AJ305" s="11">
        <f t="shared" si="217"/>
        <v>0</v>
      </c>
      <c r="AK305" s="11">
        <f t="shared" si="218"/>
        <v>0</v>
      </c>
      <c r="AL305" s="11">
        <f t="shared" si="219"/>
        <v>1970000</v>
      </c>
      <c r="AM305" s="76">
        <f t="shared" si="220"/>
        <v>0</v>
      </c>
      <c r="AN305" s="51">
        <f t="shared" si="221"/>
        <v>1970000</v>
      </c>
      <c r="AO305" s="41"/>
      <c r="AP305" s="14"/>
      <c r="AQ305" s="14"/>
      <c r="AR305" s="14"/>
      <c r="AS305" s="14"/>
      <c r="AT305" s="14"/>
      <c r="AU305" s="14"/>
      <c r="AV305" s="9">
        <f t="shared" si="222"/>
        <v>0</v>
      </c>
      <c r="AW305" s="10">
        <f t="shared" si="196"/>
        <v>0</v>
      </c>
      <c r="AY305" s="11">
        <f t="shared" si="224"/>
        <v>0</v>
      </c>
    </row>
    <row r="306" spans="5:51" ht="60" customHeight="1" x14ac:dyDescent="0.2">
      <c r="E306" s="151">
        <f t="shared" si="214"/>
        <v>40907</v>
      </c>
      <c r="F306" s="170" t="s">
        <v>158</v>
      </c>
      <c r="G306" s="173">
        <v>100000</v>
      </c>
      <c r="H306" s="174">
        <f>G306</f>
        <v>100000</v>
      </c>
      <c r="I306" s="175">
        <v>100000</v>
      </c>
      <c r="J306" s="176">
        <f>I306</f>
        <v>100000</v>
      </c>
      <c r="K306" s="175">
        <f>500000-150000</f>
        <v>350000</v>
      </c>
      <c r="L306" s="176">
        <v>350000</v>
      </c>
      <c r="M306" s="175">
        <v>500000</v>
      </c>
      <c r="N306" s="176">
        <v>500000</v>
      </c>
      <c r="O306" s="175">
        <v>640000</v>
      </c>
      <c r="P306" s="176">
        <v>500000</v>
      </c>
      <c r="Q306" s="165">
        <f t="shared" si="223"/>
        <v>140000</v>
      </c>
      <c r="R306" s="166">
        <f t="shared" si="223"/>
        <v>0</v>
      </c>
      <c r="S306" s="173"/>
      <c r="T306" s="181"/>
      <c r="U306" s="174"/>
      <c r="V306" s="182">
        <v>500000</v>
      </c>
      <c r="W306" s="175">
        <v>0</v>
      </c>
      <c r="X306" s="181"/>
      <c r="Y306" s="181"/>
      <c r="Z306" s="181">
        <f>W306</f>
        <v>0</v>
      </c>
      <c r="AA306" s="181"/>
      <c r="AB306" s="176"/>
      <c r="AC306" s="158">
        <f t="shared" si="215"/>
        <v>500000</v>
      </c>
      <c r="AD306" s="181"/>
      <c r="AE306" s="181"/>
      <c r="AF306" s="174">
        <f>AC306</f>
        <v>500000</v>
      </c>
      <c r="AG306" s="174"/>
      <c r="AH306" s="176"/>
      <c r="AI306" s="35">
        <f t="shared" si="216"/>
        <v>0</v>
      </c>
      <c r="AJ306" s="11">
        <f t="shared" si="217"/>
        <v>0</v>
      </c>
      <c r="AK306" s="11">
        <f t="shared" si="218"/>
        <v>500000</v>
      </c>
      <c r="AL306" s="11">
        <f t="shared" si="219"/>
        <v>0</v>
      </c>
      <c r="AM306" s="76">
        <f t="shared" si="220"/>
        <v>0</v>
      </c>
      <c r="AN306" s="51">
        <f t="shared" si="221"/>
        <v>500000</v>
      </c>
      <c r="AO306" s="41"/>
      <c r="AP306" s="14"/>
      <c r="AQ306" s="14"/>
      <c r="AR306" s="14"/>
      <c r="AS306" s="14"/>
      <c r="AT306" s="14"/>
      <c r="AU306" s="14"/>
      <c r="AV306" s="9">
        <f t="shared" si="222"/>
        <v>0</v>
      </c>
      <c r="AW306" s="10">
        <f t="shared" si="196"/>
        <v>0</v>
      </c>
      <c r="AY306" s="11">
        <f t="shared" si="224"/>
        <v>0</v>
      </c>
    </row>
    <row r="307" spans="5:51" ht="60" customHeight="1" x14ac:dyDescent="0.2">
      <c r="E307" s="151">
        <f t="shared" si="214"/>
        <v>40908</v>
      </c>
      <c r="F307" s="170" t="s">
        <v>269</v>
      </c>
      <c r="G307" s="173">
        <v>50000</v>
      </c>
      <c r="H307" s="174">
        <f>G307</f>
        <v>50000</v>
      </c>
      <c r="I307" s="175">
        <v>50000</v>
      </c>
      <c r="J307" s="176">
        <f>I307</f>
        <v>50000</v>
      </c>
      <c r="K307" s="175">
        <v>50000</v>
      </c>
      <c r="L307" s="176">
        <v>50000</v>
      </c>
      <c r="M307" s="175">
        <v>50000</v>
      </c>
      <c r="N307" s="176">
        <v>25000</v>
      </c>
      <c r="O307" s="175">
        <v>50000</v>
      </c>
      <c r="P307" s="176">
        <v>50000</v>
      </c>
      <c r="Q307" s="165">
        <f t="shared" si="223"/>
        <v>0</v>
      </c>
      <c r="R307" s="166">
        <f t="shared" si="223"/>
        <v>25000</v>
      </c>
      <c r="S307" s="173">
        <v>46000</v>
      </c>
      <c r="T307" s="181"/>
      <c r="U307" s="174">
        <f>S307</f>
        <v>46000</v>
      </c>
      <c r="V307" s="182">
        <v>240000</v>
      </c>
      <c r="W307" s="175">
        <v>240000</v>
      </c>
      <c r="X307" s="181"/>
      <c r="Y307" s="181"/>
      <c r="Z307" s="181"/>
      <c r="AA307" s="181">
        <f>W307</f>
        <v>240000</v>
      </c>
      <c r="AB307" s="176"/>
      <c r="AC307" s="158">
        <f t="shared" si="215"/>
        <v>0</v>
      </c>
      <c r="AD307" s="181"/>
      <c r="AE307" s="181"/>
      <c r="AF307" s="174"/>
      <c r="AG307" s="174"/>
      <c r="AH307" s="176"/>
      <c r="AI307" s="35">
        <f t="shared" si="216"/>
        <v>0</v>
      </c>
      <c r="AJ307" s="11">
        <f t="shared" si="217"/>
        <v>0</v>
      </c>
      <c r="AK307" s="11">
        <f t="shared" si="218"/>
        <v>0</v>
      </c>
      <c r="AL307" s="11">
        <f t="shared" si="219"/>
        <v>240000</v>
      </c>
      <c r="AM307" s="76">
        <f t="shared" si="220"/>
        <v>0</v>
      </c>
      <c r="AN307" s="51">
        <f t="shared" si="221"/>
        <v>240000</v>
      </c>
      <c r="AO307" s="41"/>
      <c r="AP307" s="14"/>
      <c r="AQ307" s="14"/>
      <c r="AR307" s="14"/>
      <c r="AS307" s="14"/>
      <c r="AT307" s="14"/>
      <c r="AU307" s="14"/>
      <c r="AV307" s="9">
        <f t="shared" si="222"/>
        <v>0</v>
      </c>
      <c r="AW307" s="10">
        <f t="shared" si="196"/>
        <v>0</v>
      </c>
      <c r="AY307" s="11">
        <f t="shared" si="224"/>
        <v>0</v>
      </c>
    </row>
    <row r="308" spans="5:51" ht="60" customHeight="1" x14ac:dyDescent="0.2">
      <c r="E308" s="151">
        <f t="shared" si="214"/>
        <v>40909</v>
      </c>
      <c r="F308" s="170" t="s">
        <v>159</v>
      </c>
      <c r="G308" s="173">
        <v>30000</v>
      </c>
      <c r="H308" s="174">
        <v>30000</v>
      </c>
      <c r="I308" s="175">
        <v>30000</v>
      </c>
      <c r="J308" s="176">
        <v>22500</v>
      </c>
      <c r="K308" s="175">
        <v>20000</v>
      </c>
      <c r="L308" s="176">
        <v>10000</v>
      </c>
      <c r="M308" s="175">
        <v>20000</v>
      </c>
      <c r="N308" s="176">
        <v>10000</v>
      </c>
      <c r="O308" s="175">
        <v>20000</v>
      </c>
      <c r="P308" s="176">
        <v>5000</v>
      </c>
      <c r="Q308" s="165">
        <f t="shared" si="223"/>
        <v>0</v>
      </c>
      <c r="R308" s="166">
        <f t="shared" si="223"/>
        <v>-5000</v>
      </c>
      <c r="S308" s="173">
        <v>14000</v>
      </c>
      <c r="T308" s="181"/>
      <c r="U308" s="164">
        <f>S308</f>
        <v>14000</v>
      </c>
      <c r="V308" s="182">
        <v>20000</v>
      </c>
      <c r="W308" s="175">
        <v>20000</v>
      </c>
      <c r="X308" s="181"/>
      <c r="Y308" s="181"/>
      <c r="Z308" s="181"/>
      <c r="AA308" s="181">
        <f>W308</f>
        <v>20000</v>
      </c>
      <c r="AB308" s="176"/>
      <c r="AC308" s="158">
        <f t="shared" si="215"/>
        <v>0</v>
      </c>
      <c r="AD308" s="181"/>
      <c r="AE308" s="181"/>
      <c r="AF308" s="174"/>
      <c r="AG308" s="174"/>
      <c r="AH308" s="176"/>
      <c r="AI308" s="35">
        <f t="shared" si="216"/>
        <v>0</v>
      </c>
      <c r="AJ308" s="11">
        <f t="shared" si="217"/>
        <v>0</v>
      </c>
      <c r="AK308" s="11">
        <f t="shared" si="218"/>
        <v>0</v>
      </c>
      <c r="AL308" s="11">
        <f t="shared" si="219"/>
        <v>20000</v>
      </c>
      <c r="AM308" s="76">
        <f t="shared" si="220"/>
        <v>0</v>
      </c>
      <c r="AN308" s="51">
        <f t="shared" si="221"/>
        <v>20000</v>
      </c>
      <c r="AO308" s="41"/>
      <c r="AP308" s="14"/>
      <c r="AQ308" s="14"/>
      <c r="AR308" s="14"/>
      <c r="AS308" s="14"/>
      <c r="AT308" s="14"/>
      <c r="AU308" s="14"/>
      <c r="AV308" s="9">
        <f t="shared" si="222"/>
        <v>0</v>
      </c>
      <c r="AW308" s="10">
        <f t="shared" si="196"/>
        <v>0</v>
      </c>
      <c r="AY308" s="11">
        <f t="shared" si="224"/>
        <v>0</v>
      </c>
    </row>
    <row r="309" spans="5:51" ht="60" customHeight="1" x14ac:dyDescent="0.2">
      <c r="E309" s="151">
        <f t="shared" si="214"/>
        <v>40910</v>
      </c>
      <c r="F309" s="170" t="s">
        <v>160</v>
      </c>
      <c r="G309" s="173">
        <v>500000</v>
      </c>
      <c r="H309" s="174">
        <f>G309</f>
        <v>500000</v>
      </c>
      <c r="I309" s="175">
        <v>800000</v>
      </c>
      <c r="J309" s="176">
        <f>I309</f>
        <v>800000</v>
      </c>
      <c r="K309" s="175">
        <v>800000</v>
      </c>
      <c r="L309" s="176">
        <v>800000</v>
      </c>
      <c r="M309" s="175">
        <v>700000</v>
      </c>
      <c r="N309" s="176">
        <v>700000</v>
      </c>
      <c r="O309" s="175">
        <v>700000</v>
      </c>
      <c r="P309" s="176">
        <v>700000</v>
      </c>
      <c r="Q309" s="165">
        <f t="shared" si="223"/>
        <v>0</v>
      </c>
      <c r="R309" s="166">
        <f t="shared" si="223"/>
        <v>0</v>
      </c>
      <c r="S309" s="173">
        <v>108000</v>
      </c>
      <c r="T309" s="181"/>
      <c r="U309" s="174">
        <f>S309</f>
        <v>108000</v>
      </c>
      <c r="V309" s="182">
        <v>700000</v>
      </c>
      <c r="W309" s="175">
        <v>500000</v>
      </c>
      <c r="X309" s="181"/>
      <c r="Y309" s="181"/>
      <c r="Z309" s="181"/>
      <c r="AA309" s="181">
        <f>W309</f>
        <v>500000</v>
      </c>
      <c r="AB309" s="176"/>
      <c r="AC309" s="158">
        <f t="shared" si="215"/>
        <v>200000</v>
      </c>
      <c r="AD309" s="181"/>
      <c r="AE309" s="181"/>
      <c r="AF309" s="174"/>
      <c r="AG309" s="174">
        <f>AC309</f>
        <v>200000</v>
      </c>
      <c r="AH309" s="176"/>
      <c r="AI309" s="35">
        <f t="shared" si="216"/>
        <v>0</v>
      </c>
      <c r="AJ309" s="11">
        <f t="shared" si="217"/>
        <v>0</v>
      </c>
      <c r="AK309" s="11">
        <f t="shared" si="218"/>
        <v>0</v>
      </c>
      <c r="AL309" s="11">
        <f t="shared" si="219"/>
        <v>700000</v>
      </c>
      <c r="AM309" s="76">
        <f t="shared" si="220"/>
        <v>0</v>
      </c>
      <c r="AN309" s="51">
        <f t="shared" si="221"/>
        <v>700000</v>
      </c>
      <c r="AO309" s="41"/>
      <c r="AP309" s="14"/>
      <c r="AQ309" s="14"/>
      <c r="AR309" s="14"/>
      <c r="AS309" s="14"/>
      <c r="AT309" s="14"/>
      <c r="AU309" s="14"/>
      <c r="AV309" s="9">
        <f t="shared" si="222"/>
        <v>0</v>
      </c>
      <c r="AW309" s="10">
        <f t="shared" si="196"/>
        <v>0</v>
      </c>
      <c r="AY309" s="11">
        <f t="shared" si="224"/>
        <v>0</v>
      </c>
    </row>
    <row r="310" spans="5:51" ht="60" customHeight="1" x14ac:dyDescent="0.2">
      <c r="E310" s="151">
        <f t="shared" si="214"/>
        <v>40911</v>
      </c>
      <c r="F310" s="170" t="s">
        <v>161</v>
      </c>
      <c r="G310" s="173">
        <v>100000</v>
      </c>
      <c r="H310" s="174">
        <f>G310</f>
        <v>100000</v>
      </c>
      <c r="I310" s="175">
        <v>100000</v>
      </c>
      <c r="J310" s="176">
        <f>I310</f>
        <v>100000</v>
      </c>
      <c r="K310" s="175">
        <v>100000</v>
      </c>
      <c r="L310" s="176">
        <v>100000</v>
      </c>
      <c r="M310" s="175">
        <v>100000</v>
      </c>
      <c r="N310" s="176">
        <v>100000</v>
      </c>
      <c r="O310" s="175">
        <v>220000</v>
      </c>
      <c r="P310" s="176">
        <v>220000</v>
      </c>
      <c r="Q310" s="165">
        <f t="shared" si="223"/>
        <v>120000</v>
      </c>
      <c r="R310" s="166">
        <f t="shared" si="223"/>
        <v>120000</v>
      </c>
      <c r="S310" s="173">
        <v>21000</v>
      </c>
      <c r="T310" s="181"/>
      <c r="U310" s="174">
        <f>S310</f>
        <v>21000</v>
      </c>
      <c r="V310" s="182">
        <v>930000</v>
      </c>
      <c r="W310" s="175">
        <v>100000</v>
      </c>
      <c r="X310" s="181"/>
      <c r="Y310" s="181"/>
      <c r="Z310" s="181"/>
      <c r="AA310" s="181">
        <f>W310</f>
        <v>100000</v>
      </c>
      <c r="AB310" s="176"/>
      <c r="AC310" s="158">
        <f t="shared" si="215"/>
        <v>830000</v>
      </c>
      <c r="AD310" s="181"/>
      <c r="AE310" s="181"/>
      <c r="AF310" s="174"/>
      <c r="AG310" s="174">
        <f>AC310</f>
        <v>830000</v>
      </c>
      <c r="AH310" s="176"/>
      <c r="AI310" s="35">
        <f t="shared" si="216"/>
        <v>0</v>
      </c>
      <c r="AJ310" s="11">
        <f t="shared" si="217"/>
        <v>0</v>
      </c>
      <c r="AK310" s="11">
        <f t="shared" si="218"/>
        <v>0</v>
      </c>
      <c r="AL310" s="11">
        <f t="shared" si="219"/>
        <v>930000</v>
      </c>
      <c r="AM310" s="76">
        <f t="shared" si="220"/>
        <v>0</v>
      </c>
      <c r="AN310" s="51">
        <f t="shared" si="221"/>
        <v>930000</v>
      </c>
      <c r="AO310" s="41"/>
      <c r="AP310" s="14"/>
      <c r="AQ310" s="14"/>
      <c r="AR310" s="14"/>
      <c r="AS310" s="14"/>
      <c r="AT310" s="14"/>
      <c r="AU310" s="14"/>
      <c r="AV310" s="9">
        <f t="shared" si="222"/>
        <v>0</v>
      </c>
      <c r="AW310" s="10">
        <f t="shared" si="196"/>
        <v>0</v>
      </c>
      <c r="AY310" s="11">
        <f t="shared" si="224"/>
        <v>0</v>
      </c>
    </row>
    <row r="311" spans="5:51" ht="60" customHeight="1" x14ac:dyDescent="0.2">
      <c r="E311" s="151">
        <f t="shared" si="214"/>
        <v>40912</v>
      </c>
      <c r="F311" s="170" t="s">
        <v>162</v>
      </c>
      <c r="G311" s="173">
        <v>700000</v>
      </c>
      <c r="H311" s="174">
        <f>G311</f>
        <v>700000</v>
      </c>
      <c r="I311" s="175">
        <v>450000</v>
      </c>
      <c r="J311" s="176">
        <f>I311</f>
        <v>450000</v>
      </c>
      <c r="K311" s="175">
        <v>1642000</v>
      </c>
      <c r="L311" s="176">
        <f>500000+280000+57000+480000+324800</f>
        <v>1641800</v>
      </c>
      <c r="M311" s="175">
        <v>4500000</v>
      </c>
      <c r="N311" s="176">
        <f>1988736+250000+261264+2000000</f>
        <v>4500000</v>
      </c>
      <c r="O311" s="175">
        <v>1287833</v>
      </c>
      <c r="P311" s="176">
        <v>1287833</v>
      </c>
      <c r="Q311" s="165">
        <f t="shared" si="223"/>
        <v>-3212167</v>
      </c>
      <c r="R311" s="166">
        <f t="shared" si="223"/>
        <v>-3212167</v>
      </c>
      <c r="S311" s="173"/>
      <c r="T311" s="181"/>
      <c r="U311" s="174"/>
      <c r="V311" s="182">
        <v>2000000</v>
      </c>
      <c r="W311" s="175">
        <v>1000000</v>
      </c>
      <c r="X311" s="181"/>
      <c r="Y311" s="181"/>
      <c r="Z311" s="181">
        <f>W311</f>
        <v>1000000</v>
      </c>
      <c r="AA311" s="181"/>
      <c r="AB311" s="176"/>
      <c r="AC311" s="158">
        <f t="shared" si="215"/>
        <v>1000000</v>
      </c>
      <c r="AD311" s="181"/>
      <c r="AE311" s="181"/>
      <c r="AF311" s="174">
        <f>AC311</f>
        <v>1000000</v>
      </c>
      <c r="AG311" s="174"/>
      <c r="AH311" s="176"/>
      <c r="AI311" s="35">
        <f t="shared" si="216"/>
        <v>0</v>
      </c>
      <c r="AJ311" s="11">
        <f t="shared" si="217"/>
        <v>0</v>
      </c>
      <c r="AK311" s="11">
        <f t="shared" si="218"/>
        <v>2000000</v>
      </c>
      <c r="AL311" s="11">
        <f t="shared" si="219"/>
        <v>0</v>
      </c>
      <c r="AM311" s="76">
        <f t="shared" si="220"/>
        <v>0</v>
      </c>
      <c r="AN311" s="51">
        <f t="shared" si="221"/>
        <v>2000000</v>
      </c>
      <c r="AO311" s="41"/>
      <c r="AP311" s="14"/>
      <c r="AQ311" s="14"/>
      <c r="AR311" s="14"/>
      <c r="AS311" s="14"/>
      <c r="AT311" s="14"/>
      <c r="AU311" s="14"/>
      <c r="AV311" s="9">
        <f t="shared" si="222"/>
        <v>0</v>
      </c>
      <c r="AW311" s="10">
        <f t="shared" si="196"/>
        <v>0</v>
      </c>
      <c r="AY311" s="11">
        <f t="shared" si="224"/>
        <v>0</v>
      </c>
    </row>
    <row r="312" spans="5:51" ht="60" customHeight="1" x14ac:dyDescent="0.2">
      <c r="E312" s="151">
        <f t="shared" si="214"/>
        <v>40913</v>
      </c>
      <c r="F312" s="170" t="s">
        <v>163</v>
      </c>
      <c r="G312" s="173">
        <v>400000</v>
      </c>
      <c r="H312" s="174">
        <f>G312</f>
        <v>400000</v>
      </c>
      <c r="I312" s="175">
        <v>400000</v>
      </c>
      <c r="J312" s="176">
        <f>I312</f>
        <v>400000</v>
      </c>
      <c r="K312" s="175">
        <v>400000</v>
      </c>
      <c r="L312" s="176">
        <v>400000</v>
      </c>
      <c r="M312" s="175">
        <v>400000</v>
      </c>
      <c r="N312" s="176">
        <v>400000</v>
      </c>
      <c r="O312" s="175">
        <v>400000</v>
      </c>
      <c r="P312" s="176">
        <v>400000</v>
      </c>
      <c r="Q312" s="165">
        <f t="shared" si="223"/>
        <v>0</v>
      </c>
      <c r="R312" s="166">
        <f t="shared" si="223"/>
        <v>0</v>
      </c>
      <c r="S312" s="173">
        <v>6000</v>
      </c>
      <c r="T312" s="181"/>
      <c r="U312" s="174">
        <f>S312</f>
        <v>6000</v>
      </c>
      <c r="V312" s="182">
        <v>1150000</v>
      </c>
      <c r="W312" s="175">
        <v>450000</v>
      </c>
      <c r="X312" s="181"/>
      <c r="Y312" s="181"/>
      <c r="Z312" s="181">
        <f>W312/2</f>
        <v>225000</v>
      </c>
      <c r="AA312" s="181">
        <f>W312-Z312</f>
        <v>225000</v>
      </c>
      <c r="AB312" s="176"/>
      <c r="AC312" s="158">
        <f t="shared" si="215"/>
        <v>700000</v>
      </c>
      <c r="AD312" s="181"/>
      <c r="AE312" s="181"/>
      <c r="AF312" s="174">
        <f>AC312/2</f>
        <v>350000</v>
      </c>
      <c r="AG312" s="174">
        <f>AC312-AF312</f>
        <v>350000</v>
      </c>
      <c r="AH312" s="176"/>
      <c r="AI312" s="35">
        <f t="shared" si="216"/>
        <v>0</v>
      </c>
      <c r="AJ312" s="11">
        <f t="shared" si="217"/>
        <v>0</v>
      </c>
      <c r="AK312" s="11">
        <f t="shared" si="218"/>
        <v>575000</v>
      </c>
      <c r="AL312" s="11">
        <f t="shared" si="219"/>
        <v>575000</v>
      </c>
      <c r="AM312" s="76">
        <f t="shared" si="220"/>
        <v>0</v>
      </c>
      <c r="AN312" s="51">
        <f t="shared" si="221"/>
        <v>1150000</v>
      </c>
      <c r="AO312" s="41"/>
      <c r="AP312" s="14"/>
      <c r="AQ312" s="14"/>
      <c r="AR312" s="14"/>
      <c r="AS312" s="14"/>
      <c r="AT312" s="14"/>
      <c r="AU312" s="14"/>
      <c r="AV312" s="9">
        <f t="shared" si="222"/>
        <v>0</v>
      </c>
      <c r="AW312" s="10">
        <f t="shared" si="196"/>
        <v>0</v>
      </c>
      <c r="AY312" s="11">
        <f t="shared" si="224"/>
        <v>0</v>
      </c>
    </row>
    <row r="313" spans="5:51" ht="60" customHeight="1" x14ac:dyDescent="0.2">
      <c r="E313" s="151">
        <f t="shared" si="214"/>
        <v>40914</v>
      </c>
      <c r="F313" s="170" t="s">
        <v>164</v>
      </c>
      <c r="G313" s="173">
        <v>800000</v>
      </c>
      <c r="H313" s="174">
        <f>G313</f>
        <v>800000</v>
      </c>
      <c r="I313" s="175">
        <v>900000</v>
      </c>
      <c r="J313" s="176">
        <v>900000</v>
      </c>
      <c r="K313" s="175">
        <v>1000000</v>
      </c>
      <c r="L313" s="176">
        <v>1000000</v>
      </c>
      <c r="M313" s="175">
        <v>16531480</v>
      </c>
      <c r="N313" s="176">
        <v>16527939</v>
      </c>
      <c r="O313" s="175">
        <v>7900000</v>
      </c>
      <c r="P313" s="176">
        <v>7000000</v>
      </c>
      <c r="Q313" s="165">
        <f t="shared" si="223"/>
        <v>-8631480</v>
      </c>
      <c r="R313" s="166">
        <f t="shared" si="223"/>
        <v>-9527939</v>
      </c>
      <c r="S313" s="173">
        <v>1147000</v>
      </c>
      <c r="T313" s="181">
        <f>S313-U313</f>
        <v>1147000</v>
      </c>
      <c r="U313" s="174"/>
      <c r="V313" s="182">
        <v>2000000</v>
      </c>
      <c r="W313" s="175">
        <v>2000000</v>
      </c>
      <c r="X313" s="181"/>
      <c r="Y313" s="181"/>
      <c r="Z313" s="181">
        <f>W313</f>
        <v>2000000</v>
      </c>
      <c r="AA313" s="181"/>
      <c r="AB313" s="176"/>
      <c r="AC313" s="158">
        <f t="shared" si="215"/>
        <v>0</v>
      </c>
      <c r="AD313" s="181"/>
      <c r="AE313" s="181"/>
      <c r="AF313" s="174"/>
      <c r="AG313" s="174"/>
      <c r="AH313" s="176">
        <f>V313-Z313</f>
        <v>0</v>
      </c>
      <c r="AI313" s="35">
        <f t="shared" si="216"/>
        <v>0</v>
      </c>
      <c r="AJ313" s="11">
        <f t="shared" si="217"/>
        <v>0</v>
      </c>
      <c r="AK313" s="11">
        <f t="shared" si="218"/>
        <v>2000000</v>
      </c>
      <c r="AL313" s="11">
        <f t="shared" si="219"/>
        <v>0</v>
      </c>
      <c r="AM313" s="76">
        <f t="shared" si="220"/>
        <v>0</v>
      </c>
      <c r="AN313" s="51">
        <f t="shared" si="221"/>
        <v>2000000</v>
      </c>
      <c r="AO313" s="41"/>
      <c r="AP313" s="14"/>
      <c r="AQ313" s="14"/>
      <c r="AR313" s="14"/>
      <c r="AS313" s="14"/>
      <c r="AT313" s="14"/>
      <c r="AU313" s="14"/>
      <c r="AV313" s="9">
        <f t="shared" si="222"/>
        <v>0</v>
      </c>
      <c r="AW313" s="10">
        <f t="shared" si="196"/>
        <v>0</v>
      </c>
      <c r="AY313" s="11">
        <f t="shared" si="224"/>
        <v>0</v>
      </c>
    </row>
    <row r="314" spans="5:51" ht="60" customHeight="1" x14ac:dyDescent="0.2">
      <c r="E314" s="151">
        <f t="shared" si="214"/>
        <v>40915</v>
      </c>
      <c r="F314" s="170" t="s">
        <v>320</v>
      </c>
      <c r="G314" s="173"/>
      <c r="H314" s="174"/>
      <c r="I314" s="175"/>
      <c r="J314" s="176"/>
      <c r="K314" s="175"/>
      <c r="L314" s="176"/>
      <c r="M314" s="175"/>
      <c r="N314" s="176"/>
      <c r="O314" s="175"/>
      <c r="P314" s="176"/>
      <c r="Q314" s="165">
        <f t="shared" si="223"/>
        <v>0</v>
      </c>
      <c r="R314" s="166">
        <f t="shared" si="223"/>
        <v>0</v>
      </c>
      <c r="S314" s="173"/>
      <c r="T314" s="181"/>
      <c r="U314" s="174"/>
      <c r="V314" s="182">
        <v>870000</v>
      </c>
      <c r="W314" s="175"/>
      <c r="X314" s="181"/>
      <c r="Y314" s="181"/>
      <c r="Z314" s="181">
        <f>W314</f>
        <v>0</v>
      </c>
      <c r="AA314" s="181"/>
      <c r="AB314" s="176"/>
      <c r="AC314" s="158">
        <f t="shared" si="215"/>
        <v>870000</v>
      </c>
      <c r="AD314" s="181"/>
      <c r="AE314" s="181"/>
      <c r="AF314" s="174">
        <f>AC314</f>
        <v>870000</v>
      </c>
      <c r="AG314" s="174"/>
      <c r="AH314" s="176"/>
      <c r="AI314" s="35">
        <f t="shared" si="216"/>
        <v>0</v>
      </c>
      <c r="AJ314" s="11">
        <f t="shared" si="217"/>
        <v>0</v>
      </c>
      <c r="AK314" s="11">
        <f t="shared" si="218"/>
        <v>870000</v>
      </c>
      <c r="AL314" s="11">
        <f t="shared" si="219"/>
        <v>0</v>
      </c>
      <c r="AM314" s="76">
        <f t="shared" si="220"/>
        <v>0</v>
      </c>
      <c r="AN314" s="51">
        <f t="shared" si="221"/>
        <v>870000</v>
      </c>
      <c r="AO314" s="41"/>
      <c r="AP314" s="14"/>
      <c r="AQ314" s="14"/>
      <c r="AR314" s="14"/>
      <c r="AS314" s="14"/>
      <c r="AT314" s="14"/>
      <c r="AU314" s="14"/>
      <c r="AV314" s="9"/>
      <c r="AW314" s="10"/>
      <c r="AY314" s="11">
        <f t="shared" si="224"/>
        <v>0</v>
      </c>
    </row>
    <row r="315" spans="5:51" ht="60" customHeight="1" x14ac:dyDescent="0.2">
      <c r="E315" s="151">
        <f t="shared" si="214"/>
        <v>40916</v>
      </c>
      <c r="F315" s="170" t="s">
        <v>165</v>
      </c>
      <c r="G315" s="173">
        <v>1100000</v>
      </c>
      <c r="H315" s="174">
        <f>G315</f>
        <v>1100000</v>
      </c>
      <c r="I315" s="175">
        <v>500000</v>
      </c>
      <c r="J315" s="176">
        <v>500000</v>
      </c>
      <c r="K315" s="175">
        <v>1300000</v>
      </c>
      <c r="L315" s="176">
        <v>700000</v>
      </c>
      <c r="M315" s="175">
        <v>2000000</v>
      </c>
      <c r="N315" s="176">
        <f>2000000+177500+110000-500000</f>
        <v>1787500</v>
      </c>
      <c r="O315" s="175">
        <v>1112167</v>
      </c>
      <c r="P315" s="176">
        <v>-197833</v>
      </c>
      <c r="Q315" s="165">
        <f t="shared" si="223"/>
        <v>-887833</v>
      </c>
      <c r="R315" s="166">
        <f t="shared" si="223"/>
        <v>-1985333</v>
      </c>
      <c r="S315" s="173">
        <v>1453000</v>
      </c>
      <c r="T315" s="181"/>
      <c r="U315" s="164">
        <f>S315</f>
        <v>1453000</v>
      </c>
      <c r="V315" s="182">
        <f>1050000+2000000</f>
        <v>3050000</v>
      </c>
      <c r="W315" s="175">
        <v>0</v>
      </c>
      <c r="X315" s="181"/>
      <c r="Y315" s="181"/>
      <c r="Z315" s="181">
        <f>W315</f>
        <v>0</v>
      </c>
      <c r="AA315" s="181"/>
      <c r="AB315" s="176"/>
      <c r="AC315" s="158">
        <f t="shared" si="215"/>
        <v>3050000</v>
      </c>
      <c r="AD315" s="181"/>
      <c r="AE315" s="181"/>
      <c r="AF315" s="174">
        <f>AC315</f>
        <v>3050000</v>
      </c>
      <c r="AG315" s="174"/>
      <c r="AH315" s="176"/>
      <c r="AI315" s="35">
        <f t="shared" si="216"/>
        <v>0</v>
      </c>
      <c r="AJ315" s="11">
        <f t="shared" si="217"/>
        <v>0</v>
      </c>
      <c r="AK315" s="11">
        <f t="shared" si="218"/>
        <v>3050000</v>
      </c>
      <c r="AL315" s="11">
        <f t="shared" si="219"/>
        <v>0</v>
      </c>
      <c r="AM315" s="76">
        <f t="shared" si="220"/>
        <v>0</v>
      </c>
      <c r="AN315" s="51">
        <f t="shared" si="221"/>
        <v>3050000</v>
      </c>
      <c r="AO315" s="41"/>
      <c r="AP315" s="14"/>
      <c r="AQ315" s="14"/>
      <c r="AR315" s="14"/>
      <c r="AS315" s="14"/>
      <c r="AT315" s="14"/>
      <c r="AU315" s="14"/>
      <c r="AV315" s="9">
        <f>AU315+AT315+AS315+AR315</f>
        <v>0</v>
      </c>
      <c r="AW315" s="10">
        <f t="shared" si="196"/>
        <v>0</v>
      </c>
      <c r="AY315" s="11">
        <f t="shared" si="224"/>
        <v>0</v>
      </c>
    </row>
    <row r="316" spans="5:51" ht="60" customHeight="1" x14ac:dyDescent="0.2">
      <c r="E316" s="151">
        <f t="shared" si="214"/>
        <v>40917</v>
      </c>
      <c r="F316" s="170" t="s">
        <v>166</v>
      </c>
      <c r="G316" s="173">
        <v>100000</v>
      </c>
      <c r="H316" s="174">
        <f>G316</f>
        <v>100000</v>
      </c>
      <c r="I316" s="175">
        <v>100000</v>
      </c>
      <c r="J316" s="176">
        <f>I316</f>
        <v>100000</v>
      </c>
      <c r="K316" s="175">
        <v>100000</v>
      </c>
      <c r="L316" s="176">
        <v>100000</v>
      </c>
      <c r="M316" s="175">
        <v>100000</v>
      </c>
      <c r="N316" s="176">
        <v>100000</v>
      </c>
      <c r="O316" s="175">
        <v>200000</v>
      </c>
      <c r="P316" s="176">
        <v>100000</v>
      </c>
      <c r="Q316" s="165">
        <f t="shared" si="223"/>
        <v>100000</v>
      </c>
      <c r="R316" s="166">
        <f t="shared" si="223"/>
        <v>0</v>
      </c>
      <c r="S316" s="173">
        <v>2000</v>
      </c>
      <c r="T316" s="181"/>
      <c r="U316" s="164">
        <f>S316</f>
        <v>2000</v>
      </c>
      <c r="V316" s="182">
        <v>200000</v>
      </c>
      <c r="W316" s="175">
        <v>100000</v>
      </c>
      <c r="X316" s="181"/>
      <c r="Y316" s="181"/>
      <c r="Z316" s="181"/>
      <c r="AA316" s="181">
        <f>W316</f>
        <v>100000</v>
      </c>
      <c r="AB316" s="176"/>
      <c r="AC316" s="158">
        <f t="shared" si="215"/>
        <v>100000</v>
      </c>
      <c r="AD316" s="181"/>
      <c r="AE316" s="181"/>
      <c r="AF316" s="174"/>
      <c r="AG316" s="174">
        <f>AC316</f>
        <v>100000</v>
      </c>
      <c r="AH316" s="176"/>
      <c r="AI316" s="35">
        <f t="shared" si="216"/>
        <v>0</v>
      </c>
      <c r="AJ316" s="11">
        <f t="shared" si="217"/>
        <v>0</v>
      </c>
      <c r="AK316" s="11">
        <f t="shared" si="218"/>
        <v>0</v>
      </c>
      <c r="AL316" s="11">
        <f t="shared" si="219"/>
        <v>200000</v>
      </c>
      <c r="AM316" s="76">
        <f t="shared" si="220"/>
        <v>0</v>
      </c>
      <c r="AN316" s="51">
        <f t="shared" si="221"/>
        <v>200000</v>
      </c>
      <c r="AO316" s="41"/>
      <c r="AP316" s="14"/>
      <c r="AQ316" s="14"/>
      <c r="AR316" s="14"/>
      <c r="AS316" s="14"/>
      <c r="AT316" s="14"/>
      <c r="AU316" s="14"/>
      <c r="AV316" s="9">
        <f>AU316+AT316+AS316+AR316</f>
        <v>0</v>
      </c>
      <c r="AW316" s="10">
        <f t="shared" si="196"/>
        <v>0</v>
      </c>
      <c r="AY316" s="11">
        <f t="shared" si="224"/>
        <v>0</v>
      </c>
    </row>
    <row r="317" spans="5:51" ht="60" customHeight="1" x14ac:dyDescent="0.2">
      <c r="E317" s="151">
        <f t="shared" si="214"/>
        <v>40918</v>
      </c>
      <c r="F317" s="170" t="s">
        <v>281</v>
      </c>
      <c r="G317" s="173">
        <v>1500000</v>
      </c>
      <c r="H317" s="174">
        <f>G317</f>
        <v>1500000</v>
      </c>
      <c r="I317" s="175">
        <v>2200000</v>
      </c>
      <c r="J317" s="176">
        <f>I317</f>
        <v>2200000</v>
      </c>
      <c r="K317" s="175">
        <v>2200000</v>
      </c>
      <c r="L317" s="176">
        <v>2200000</v>
      </c>
      <c r="M317" s="175">
        <v>2800000</v>
      </c>
      <c r="N317" s="176">
        <v>2800000</v>
      </c>
      <c r="O317" s="175">
        <v>4294000</v>
      </c>
      <c r="P317" s="176">
        <v>2847000</v>
      </c>
      <c r="Q317" s="165">
        <f t="shared" si="223"/>
        <v>1494000</v>
      </c>
      <c r="R317" s="166">
        <f t="shared" si="223"/>
        <v>47000</v>
      </c>
      <c r="S317" s="173">
        <v>625000</v>
      </c>
      <c r="T317" s="181"/>
      <c r="U317" s="164">
        <f>S317</f>
        <v>625000</v>
      </c>
      <c r="V317" s="182">
        <v>4972000</v>
      </c>
      <c r="W317" s="175">
        <v>2800000</v>
      </c>
      <c r="X317" s="181"/>
      <c r="Y317" s="181"/>
      <c r="Z317" s="181">
        <f>W317/2</f>
        <v>1400000</v>
      </c>
      <c r="AA317" s="181">
        <f>W317-Z317</f>
        <v>1400000</v>
      </c>
      <c r="AB317" s="176"/>
      <c r="AC317" s="158">
        <f t="shared" si="215"/>
        <v>2172000</v>
      </c>
      <c r="AD317" s="181"/>
      <c r="AE317" s="181"/>
      <c r="AF317" s="174">
        <f>AC317/2</f>
        <v>1086000</v>
      </c>
      <c r="AG317" s="174">
        <f>AC317-AF317</f>
        <v>1086000</v>
      </c>
      <c r="AH317" s="176"/>
      <c r="AI317" s="35">
        <f t="shared" si="216"/>
        <v>0</v>
      </c>
      <c r="AJ317" s="11">
        <f t="shared" si="217"/>
        <v>0</v>
      </c>
      <c r="AK317" s="11">
        <f t="shared" si="218"/>
        <v>2486000</v>
      </c>
      <c r="AL317" s="11">
        <f t="shared" si="219"/>
        <v>2486000</v>
      </c>
      <c r="AM317" s="76">
        <f t="shared" si="220"/>
        <v>0</v>
      </c>
      <c r="AN317" s="51">
        <f t="shared" si="221"/>
        <v>4972000</v>
      </c>
      <c r="AO317" s="41"/>
      <c r="AP317" s="14"/>
      <c r="AQ317" s="14"/>
      <c r="AR317" s="14"/>
      <c r="AS317" s="14"/>
      <c r="AT317" s="14"/>
      <c r="AU317" s="14"/>
      <c r="AV317" s="9">
        <f>AU317+AT317+AS317+AR317</f>
        <v>0</v>
      </c>
      <c r="AW317" s="10">
        <f t="shared" si="196"/>
        <v>0</v>
      </c>
      <c r="AY317" s="11">
        <f t="shared" si="224"/>
        <v>0</v>
      </c>
    </row>
    <row r="318" spans="5:51" ht="60" customHeight="1" x14ac:dyDescent="0.2">
      <c r="E318" s="151">
        <f t="shared" si="214"/>
        <v>40919</v>
      </c>
      <c r="F318" s="170" t="s">
        <v>282</v>
      </c>
      <c r="G318" s="173"/>
      <c r="H318" s="174"/>
      <c r="I318" s="175">
        <v>50000</v>
      </c>
      <c r="J318" s="176">
        <f>I318</f>
        <v>50000</v>
      </c>
      <c r="K318" s="175">
        <v>100000</v>
      </c>
      <c r="L318" s="176">
        <v>100000</v>
      </c>
      <c r="M318" s="175">
        <v>200000</v>
      </c>
      <c r="N318" s="176">
        <v>200000</v>
      </c>
      <c r="O318" s="175">
        <v>200000</v>
      </c>
      <c r="P318" s="176">
        <v>100000</v>
      </c>
      <c r="Q318" s="165">
        <f t="shared" si="223"/>
        <v>0</v>
      </c>
      <c r="R318" s="166">
        <f t="shared" si="223"/>
        <v>-100000</v>
      </c>
      <c r="S318" s="173"/>
      <c r="T318" s="181"/>
      <c r="U318" s="164"/>
      <c r="V318" s="182">
        <v>500000</v>
      </c>
      <c r="W318" s="175">
        <v>200000</v>
      </c>
      <c r="X318" s="181"/>
      <c r="Y318" s="181"/>
      <c r="Z318" s="181"/>
      <c r="AA318" s="181">
        <f>W318</f>
        <v>200000</v>
      </c>
      <c r="AB318" s="176"/>
      <c r="AC318" s="158">
        <f t="shared" si="215"/>
        <v>300000</v>
      </c>
      <c r="AD318" s="181"/>
      <c r="AE318" s="181"/>
      <c r="AF318" s="174"/>
      <c r="AG318" s="174">
        <f>AC318</f>
        <v>300000</v>
      </c>
      <c r="AH318" s="176"/>
      <c r="AI318" s="35">
        <f t="shared" si="216"/>
        <v>0</v>
      </c>
      <c r="AJ318" s="11">
        <f t="shared" si="217"/>
        <v>0</v>
      </c>
      <c r="AK318" s="11">
        <f t="shared" si="218"/>
        <v>0</v>
      </c>
      <c r="AL318" s="11">
        <f t="shared" si="219"/>
        <v>500000</v>
      </c>
      <c r="AM318" s="76">
        <f t="shared" si="220"/>
        <v>0</v>
      </c>
      <c r="AN318" s="51">
        <f t="shared" si="221"/>
        <v>500000</v>
      </c>
      <c r="AO318" s="41"/>
      <c r="AP318" s="14"/>
      <c r="AQ318" s="14"/>
      <c r="AR318" s="14"/>
      <c r="AS318" s="14"/>
      <c r="AT318" s="14"/>
      <c r="AU318" s="14"/>
      <c r="AV318" s="9">
        <f>AU318+AT318+AS318+AR318</f>
        <v>0</v>
      </c>
      <c r="AW318" s="10">
        <f t="shared" si="196"/>
        <v>0</v>
      </c>
      <c r="AY318" s="11">
        <f t="shared" si="224"/>
        <v>0</v>
      </c>
    </row>
    <row r="319" spans="5:51" ht="60" customHeight="1" x14ac:dyDescent="0.2">
      <c r="E319" s="151">
        <f t="shared" si="214"/>
        <v>40920</v>
      </c>
      <c r="F319" s="170" t="s">
        <v>321</v>
      </c>
      <c r="G319" s="173">
        <v>600000</v>
      </c>
      <c r="H319" s="174">
        <f>G319</f>
        <v>600000</v>
      </c>
      <c r="I319" s="175">
        <v>900000</v>
      </c>
      <c r="J319" s="176">
        <f>I319</f>
        <v>900000</v>
      </c>
      <c r="K319" s="175">
        <v>900000</v>
      </c>
      <c r="L319" s="176">
        <v>900000</v>
      </c>
      <c r="M319" s="175">
        <v>900000</v>
      </c>
      <c r="N319" s="176">
        <v>900000</v>
      </c>
      <c r="O319" s="175">
        <v>2000000</v>
      </c>
      <c r="P319" s="176">
        <v>2000000</v>
      </c>
      <c r="Q319" s="165">
        <f t="shared" si="223"/>
        <v>1100000</v>
      </c>
      <c r="R319" s="166">
        <f t="shared" si="223"/>
        <v>1100000</v>
      </c>
      <c r="S319" s="173">
        <v>399000</v>
      </c>
      <c r="T319" s="181"/>
      <c r="U319" s="174">
        <f>S319</f>
        <v>399000</v>
      </c>
      <c r="V319" s="182">
        <v>2000000</v>
      </c>
      <c r="W319" s="175">
        <v>0</v>
      </c>
      <c r="X319" s="181"/>
      <c r="Y319" s="181">
        <f>W319</f>
        <v>0</v>
      </c>
      <c r="Z319" s="181"/>
      <c r="AA319" s="181"/>
      <c r="AB319" s="176"/>
      <c r="AC319" s="158">
        <f t="shared" si="215"/>
        <v>2000000</v>
      </c>
      <c r="AD319" s="181"/>
      <c r="AE319" s="181"/>
      <c r="AF319" s="174"/>
      <c r="AG319" s="174">
        <f>AC319</f>
        <v>2000000</v>
      </c>
      <c r="AH319" s="176"/>
      <c r="AI319" s="35">
        <f t="shared" si="216"/>
        <v>0</v>
      </c>
      <c r="AJ319" s="11">
        <f t="shared" si="217"/>
        <v>0</v>
      </c>
      <c r="AK319" s="11">
        <f t="shared" si="218"/>
        <v>0</v>
      </c>
      <c r="AL319" s="11">
        <f t="shared" si="219"/>
        <v>2000000</v>
      </c>
      <c r="AM319" s="76">
        <f t="shared" si="220"/>
        <v>0</v>
      </c>
      <c r="AN319" s="51">
        <f t="shared" si="221"/>
        <v>2000000</v>
      </c>
      <c r="AO319" s="41"/>
      <c r="AP319" s="14"/>
      <c r="AQ319" s="14"/>
      <c r="AR319" s="14"/>
      <c r="AS319" s="14"/>
      <c r="AT319" s="14"/>
      <c r="AU319" s="14"/>
      <c r="AV319" s="9">
        <f>AU319+AT319+AS319+AR319</f>
        <v>0</v>
      </c>
      <c r="AW319" s="10">
        <f>AP319-AQ319-AV319</f>
        <v>0</v>
      </c>
      <c r="AY319" s="11">
        <f t="shared" si="224"/>
        <v>0</v>
      </c>
    </row>
    <row r="320" spans="5:51" ht="60" customHeight="1" x14ac:dyDescent="0.2">
      <c r="E320" s="151">
        <f t="shared" si="214"/>
        <v>40921</v>
      </c>
      <c r="F320" s="170" t="s">
        <v>342</v>
      </c>
      <c r="G320" s="173"/>
      <c r="H320" s="174"/>
      <c r="I320" s="175"/>
      <c r="J320" s="176"/>
      <c r="K320" s="175"/>
      <c r="L320" s="176"/>
      <c r="M320" s="175">
        <v>3700000</v>
      </c>
      <c r="N320" s="176">
        <v>3700000</v>
      </c>
      <c r="O320" s="175">
        <v>500000</v>
      </c>
      <c r="P320" s="176"/>
      <c r="Q320" s="165">
        <f t="shared" si="223"/>
        <v>-3200000</v>
      </c>
      <c r="R320" s="166">
        <f t="shared" si="223"/>
        <v>-3700000</v>
      </c>
      <c r="S320" s="173">
        <v>56000</v>
      </c>
      <c r="T320" s="181">
        <f>S320</f>
        <v>56000</v>
      </c>
      <c r="U320" s="174"/>
      <c r="V320" s="182">
        <v>500000</v>
      </c>
      <c r="W320" s="175">
        <v>0</v>
      </c>
      <c r="X320" s="181"/>
      <c r="Y320" s="181">
        <f>W320</f>
        <v>0</v>
      </c>
      <c r="Z320" s="181"/>
      <c r="AA320" s="181"/>
      <c r="AB320" s="176"/>
      <c r="AC320" s="158">
        <f t="shared" si="215"/>
        <v>500000</v>
      </c>
      <c r="AD320" s="181"/>
      <c r="AE320" s="181"/>
      <c r="AF320" s="174"/>
      <c r="AG320" s="174">
        <f>AC320</f>
        <v>500000</v>
      </c>
      <c r="AH320" s="176"/>
      <c r="AI320" s="35">
        <f t="shared" si="216"/>
        <v>0</v>
      </c>
      <c r="AJ320" s="11">
        <f t="shared" si="217"/>
        <v>0</v>
      </c>
      <c r="AK320" s="11">
        <f t="shared" si="218"/>
        <v>0</v>
      </c>
      <c r="AL320" s="11">
        <f t="shared" si="219"/>
        <v>500000</v>
      </c>
      <c r="AM320" s="76">
        <f t="shared" si="220"/>
        <v>0</v>
      </c>
      <c r="AN320" s="51">
        <f t="shared" si="221"/>
        <v>500000</v>
      </c>
      <c r="AO320" s="41"/>
      <c r="AP320" s="14"/>
      <c r="AQ320" s="14"/>
      <c r="AR320" s="14"/>
      <c r="AS320" s="14"/>
      <c r="AT320" s="14"/>
      <c r="AU320" s="14"/>
      <c r="AV320" s="9"/>
      <c r="AW320" s="10"/>
      <c r="AY320" s="11">
        <f t="shared" si="224"/>
        <v>0</v>
      </c>
    </row>
    <row r="321" spans="5:56" ht="60" customHeight="1" x14ac:dyDescent="0.2">
      <c r="E321" s="151">
        <f t="shared" si="214"/>
        <v>40922</v>
      </c>
      <c r="F321" s="170" t="s">
        <v>167</v>
      </c>
      <c r="G321" s="173">
        <v>50000</v>
      </c>
      <c r="H321" s="174">
        <f>G321</f>
        <v>50000</v>
      </c>
      <c r="I321" s="175">
        <v>50000</v>
      </c>
      <c r="J321" s="176">
        <f>I321</f>
        <v>50000</v>
      </c>
      <c r="K321" s="175">
        <v>100000</v>
      </c>
      <c r="L321" s="176">
        <v>100000</v>
      </c>
      <c r="M321" s="175">
        <v>400000</v>
      </c>
      <c r="N321" s="176">
        <v>280000</v>
      </c>
      <c r="O321" s="175">
        <v>160000</v>
      </c>
      <c r="P321" s="176">
        <v>80000</v>
      </c>
      <c r="Q321" s="165">
        <f t="shared" si="223"/>
        <v>-240000</v>
      </c>
      <c r="R321" s="166">
        <f t="shared" si="223"/>
        <v>-200000</v>
      </c>
      <c r="S321" s="173">
        <v>50000</v>
      </c>
      <c r="T321" s="181"/>
      <c r="U321" s="174">
        <f>S321</f>
        <v>50000</v>
      </c>
      <c r="V321" s="182">
        <v>200000</v>
      </c>
      <c r="W321" s="175">
        <v>125000</v>
      </c>
      <c r="X321" s="181"/>
      <c r="Y321" s="181"/>
      <c r="Z321" s="181">
        <f>W321</f>
        <v>125000</v>
      </c>
      <c r="AA321" s="181"/>
      <c r="AB321" s="176"/>
      <c r="AC321" s="158">
        <f t="shared" si="215"/>
        <v>75000</v>
      </c>
      <c r="AD321" s="181"/>
      <c r="AE321" s="181"/>
      <c r="AF321" s="174">
        <f>AC321</f>
        <v>75000</v>
      </c>
      <c r="AG321" s="174"/>
      <c r="AH321" s="176"/>
      <c r="AI321" s="35">
        <f t="shared" si="216"/>
        <v>0</v>
      </c>
      <c r="AJ321" s="11">
        <f t="shared" si="217"/>
        <v>0</v>
      </c>
      <c r="AK321" s="11">
        <f t="shared" si="218"/>
        <v>200000</v>
      </c>
      <c r="AL321" s="11">
        <f t="shared" si="219"/>
        <v>0</v>
      </c>
      <c r="AM321" s="76">
        <f t="shared" si="220"/>
        <v>0</v>
      </c>
      <c r="AN321" s="51">
        <f t="shared" si="221"/>
        <v>200000</v>
      </c>
      <c r="AO321" s="41"/>
      <c r="AP321" s="14"/>
      <c r="AQ321" s="14"/>
      <c r="AR321" s="14"/>
      <c r="AS321" s="14"/>
      <c r="AT321" s="14"/>
      <c r="AU321" s="14"/>
      <c r="AV321" s="9">
        <f>AU321+AT321+AS321+AR321</f>
        <v>0</v>
      </c>
      <c r="AW321" s="10">
        <f>AP321-AQ321-AV321</f>
        <v>0</v>
      </c>
      <c r="AY321" s="11">
        <f t="shared" si="224"/>
        <v>0</v>
      </c>
    </row>
    <row r="322" spans="5:56" ht="60" customHeight="1" x14ac:dyDescent="0.2">
      <c r="E322" s="151">
        <f t="shared" si="214"/>
        <v>40923</v>
      </c>
      <c r="F322" s="170" t="s">
        <v>322</v>
      </c>
      <c r="G322" s="173"/>
      <c r="H322" s="174"/>
      <c r="I322" s="175"/>
      <c r="J322" s="176"/>
      <c r="K322" s="175"/>
      <c r="L322" s="176"/>
      <c r="M322" s="175"/>
      <c r="N322" s="176"/>
      <c r="O322" s="175">
        <v>460000</v>
      </c>
      <c r="P322" s="176">
        <v>460000</v>
      </c>
      <c r="Q322" s="165">
        <f t="shared" si="223"/>
        <v>460000</v>
      </c>
      <c r="R322" s="166">
        <f t="shared" si="223"/>
        <v>460000</v>
      </c>
      <c r="S322" s="173">
        <v>245000</v>
      </c>
      <c r="T322" s="181"/>
      <c r="U322" s="174">
        <f>S322</f>
        <v>245000</v>
      </c>
      <c r="V322" s="182">
        <v>505000</v>
      </c>
      <c r="W322" s="175">
        <v>0</v>
      </c>
      <c r="X322" s="181"/>
      <c r="Y322" s="181">
        <f>W322</f>
        <v>0</v>
      </c>
      <c r="Z322" s="181"/>
      <c r="AA322" s="181"/>
      <c r="AB322" s="176"/>
      <c r="AC322" s="158">
        <f t="shared" si="215"/>
        <v>505000</v>
      </c>
      <c r="AD322" s="181"/>
      <c r="AE322" s="181"/>
      <c r="AF322" s="174"/>
      <c r="AG322" s="174">
        <f>AC322</f>
        <v>505000</v>
      </c>
      <c r="AH322" s="176"/>
      <c r="AI322" s="35">
        <f t="shared" si="216"/>
        <v>0</v>
      </c>
      <c r="AJ322" s="11">
        <f t="shared" si="217"/>
        <v>0</v>
      </c>
      <c r="AK322" s="11">
        <f t="shared" si="218"/>
        <v>0</v>
      </c>
      <c r="AL322" s="11">
        <f t="shared" si="219"/>
        <v>505000</v>
      </c>
      <c r="AM322" s="76">
        <f t="shared" si="220"/>
        <v>0</v>
      </c>
      <c r="AN322" s="51">
        <f t="shared" si="221"/>
        <v>505000</v>
      </c>
      <c r="AO322" s="41"/>
      <c r="AP322" s="14"/>
      <c r="AQ322" s="14"/>
      <c r="AR322" s="14"/>
      <c r="AS322" s="14"/>
      <c r="AT322" s="14"/>
      <c r="AU322" s="14"/>
      <c r="AV322" s="9"/>
      <c r="AW322" s="10"/>
      <c r="AY322" s="11">
        <f t="shared" si="224"/>
        <v>0</v>
      </c>
    </row>
    <row r="323" spans="5:56" ht="60" customHeight="1" x14ac:dyDescent="0.2">
      <c r="E323" s="151">
        <f t="shared" si="214"/>
        <v>40924</v>
      </c>
      <c r="F323" s="170" t="s">
        <v>355</v>
      </c>
      <c r="G323" s="173"/>
      <c r="H323" s="174"/>
      <c r="I323" s="175"/>
      <c r="J323" s="176"/>
      <c r="K323" s="175"/>
      <c r="L323" s="176"/>
      <c r="M323" s="175"/>
      <c r="N323" s="176"/>
      <c r="O323" s="175">
        <v>360000</v>
      </c>
      <c r="P323" s="176"/>
      <c r="Q323" s="165">
        <f t="shared" si="223"/>
        <v>360000</v>
      </c>
      <c r="R323" s="166">
        <f t="shared" si="223"/>
        <v>0</v>
      </c>
      <c r="S323" s="173"/>
      <c r="T323" s="181"/>
      <c r="U323" s="174"/>
      <c r="V323" s="182">
        <v>250000</v>
      </c>
      <c r="W323" s="175">
        <v>0</v>
      </c>
      <c r="X323" s="181"/>
      <c r="Y323" s="181">
        <f t="shared" ref="Y323:Y332" si="225">W323</f>
        <v>0</v>
      </c>
      <c r="Z323" s="181"/>
      <c r="AA323" s="181"/>
      <c r="AB323" s="176"/>
      <c r="AC323" s="158">
        <f t="shared" si="215"/>
        <v>250000</v>
      </c>
      <c r="AD323" s="181"/>
      <c r="AE323" s="181"/>
      <c r="AF323" s="174"/>
      <c r="AG323" s="174">
        <f t="shared" ref="AG323:AG328" si="226">AC323</f>
        <v>250000</v>
      </c>
      <c r="AH323" s="176"/>
      <c r="AI323" s="35">
        <f t="shared" si="216"/>
        <v>0</v>
      </c>
      <c r="AJ323" s="11">
        <f t="shared" si="217"/>
        <v>0</v>
      </c>
      <c r="AK323" s="11">
        <f t="shared" si="218"/>
        <v>0</v>
      </c>
      <c r="AL323" s="11">
        <f t="shared" si="219"/>
        <v>250000</v>
      </c>
      <c r="AM323" s="76">
        <f t="shared" si="220"/>
        <v>0</v>
      </c>
      <c r="AN323" s="51">
        <f t="shared" si="221"/>
        <v>250000</v>
      </c>
      <c r="AO323" s="41"/>
      <c r="AP323" s="14"/>
      <c r="AQ323" s="14"/>
      <c r="AR323" s="14"/>
      <c r="AS323" s="14"/>
      <c r="AT323" s="14"/>
      <c r="AU323" s="14"/>
      <c r="AV323" s="9"/>
      <c r="AW323" s="10"/>
      <c r="AY323" s="11">
        <f t="shared" si="224"/>
        <v>0</v>
      </c>
    </row>
    <row r="324" spans="5:56" ht="60" customHeight="1" x14ac:dyDescent="0.2">
      <c r="E324" s="151">
        <f t="shared" si="214"/>
        <v>40925</v>
      </c>
      <c r="F324" s="170" t="s">
        <v>356</v>
      </c>
      <c r="G324" s="173"/>
      <c r="H324" s="174"/>
      <c r="I324" s="175"/>
      <c r="J324" s="176"/>
      <c r="K324" s="175"/>
      <c r="L324" s="176"/>
      <c r="M324" s="175"/>
      <c r="N324" s="176"/>
      <c r="O324" s="175">
        <v>300000</v>
      </c>
      <c r="P324" s="176"/>
      <c r="Q324" s="165">
        <f t="shared" si="223"/>
        <v>300000</v>
      </c>
      <c r="R324" s="166">
        <f t="shared" si="223"/>
        <v>0</v>
      </c>
      <c r="S324" s="173"/>
      <c r="T324" s="181"/>
      <c r="U324" s="174"/>
      <c r="V324" s="182">
        <v>250000</v>
      </c>
      <c r="W324" s="175">
        <v>0</v>
      </c>
      <c r="X324" s="181"/>
      <c r="Y324" s="181">
        <f t="shared" si="225"/>
        <v>0</v>
      </c>
      <c r="Z324" s="181"/>
      <c r="AA324" s="181"/>
      <c r="AB324" s="176"/>
      <c r="AC324" s="158">
        <f t="shared" si="215"/>
        <v>250000</v>
      </c>
      <c r="AD324" s="181"/>
      <c r="AE324" s="181"/>
      <c r="AF324" s="174"/>
      <c r="AG324" s="174">
        <f t="shared" si="226"/>
        <v>250000</v>
      </c>
      <c r="AH324" s="176"/>
      <c r="AI324" s="35">
        <f t="shared" si="216"/>
        <v>0</v>
      </c>
      <c r="AJ324" s="11">
        <f t="shared" si="217"/>
        <v>0</v>
      </c>
      <c r="AK324" s="11">
        <f t="shared" si="218"/>
        <v>0</v>
      </c>
      <c r="AL324" s="11">
        <f t="shared" si="219"/>
        <v>250000</v>
      </c>
      <c r="AM324" s="76">
        <f t="shared" si="220"/>
        <v>0</v>
      </c>
      <c r="AN324" s="51">
        <f t="shared" si="221"/>
        <v>250000</v>
      </c>
      <c r="AO324" s="41"/>
      <c r="AP324" s="14"/>
      <c r="AQ324" s="14"/>
      <c r="AR324" s="14"/>
      <c r="AS324" s="14"/>
      <c r="AT324" s="14"/>
      <c r="AU324" s="14"/>
      <c r="AV324" s="9"/>
      <c r="AW324" s="10"/>
      <c r="AY324" s="11">
        <f t="shared" si="224"/>
        <v>0</v>
      </c>
    </row>
    <row r="325" spans="5:56" ht="60" customHeight="1" x14ac:dyDescent="0.2">
      <c r="E325" s="151">
        <f t="shared" si="214"/>
        <v>40926</v>
      </c>
      <c r="F325" s="170" t="s">
        <v>270</v>
      </c>
      <c r="G325" s="173"/>
      <c r="H325" s="174"/>
      <c r="I325" s="175"/>
      <c r="J325" s="176"/>
      <c r="K325" s="175"/>
      <c r="L325" s="176"/>
      <c r="M325" s="175"/>
      <c r="N325" s="176"/>
      <c r="O325" s="175">
        <v>362000</v>
      </c>
      <c r="P325" s="176">
        <v>90500</v>
      </c>
      <c r="Q325" s="165">
        <f t="shared" si="223"/>
        <v>362000</v>
      </c>
      <c r="R325" s="166">
        <f t="shared" si="223"/>
        <v>90500</v>
      </c>
      <c r="S325" s="173">
        <v>90000</v>
      </c>
      <c r="T325" s="181"/>
      <c r="U325" s="174">
        <f>S325</f>
        <v>90000</v>
      </c>
      <c r="V325" s="182">
        <v>100000</v>
      </c>
      <c r="W325" s="175">
        <v>0</v>
      </c>
      <c r="X325" s="181"/>
      <c r="Y325" s="181">
        <f t="shared" si="225"/>
        <v>0</v>
      </c>
      <c r="Z325" s="181"/>
      <c r="AA325" s="181"/>
      <c r="AB325" s="176"/>
      <c r="AC325" s="158">
        <f t="shared" si="215"/>
        <v>100000</v>
      </c>
      <c r="AD325" s="181"/>
      <c r="AE325" s="181"/>
      <c r="AF325" s="174"/>
      <c r="AG325" s="174">
        <f t="shared" si="226"/>
        <v>100000</v>
      </c>
      <c r="AH325" s="176"/>
      <c r="AI325" s="35">
        <f t="shared" si="216"/>
        <v>0</v>
      </c>
      <c r="AJ325" s="11">
        <f t="shared" si="217"/>
        <v>0</v>
      </c>
      <c r="AK325" s="11">
        <f t="shared" si="218"/>
        <v>0</v>
      </c>
      <c r="AL325" s="11">
        <f t="shared" si="219"/>
        <v>100000</v>
      </c>
      <c r="AM325" s="76">
        <f t="shared" si="220"/>
        <v>0</v>
      </c>
      <c r="AN325" s="51">
        <f t="shared" si="221"/>
        <v>100000</v>
      </c>
      <c r="AO325" s="41"/>
      <c r="AP325" s="14"/>
      <c r="AQ325" s="14"/>
      <c r="AR325" s="14"/>
      <c r="AS325" s="14"/>
      <c r="AT325" s="14"/>
      <c r="AU325" s="14"/>
      <c r="AV325" s="9">
        <f>AU325+AT325+AS325+AR325</f>
        <v>0</v>
      </c>
      <c r="AW325" s="10">
        <f>AP325-AQ325-AV325</f>
        <v>0</v>
      </c>
      <c r="AY325" s="11">
        <f t="shared" si="224"/>
        <v>0</v>
      </c>
    </row>
    <row r="326" spans="5:56" ht="60" customHeight="1" x14ac:dyDescent="0.2">
      <c r="E326" s="151">
        <f t="shared" si="214"/>
        <v>40927</v>
      </c>
      <c r="F326" s="170" t="s">
        <v>323</v>
      </c>
      <c r="G326" s="173"/>
      <c r="H326" s="174"/>
      <c r="I326" s="175"/>
      <c r="J326" s="176"/>
      <c r="K326" s="175"/>
      <c r="L326" s="176"/>
      <c r="M326" s="175"/>
      <c r="N326" s="176"/>
      <c r="O326" s="175">
        <v>300000</v>
      </c>
      <c r="P326" s="176">
        <v>300000</v>
      </c>
      <c r="Q326" s="165">
        <f t="shared" si="223"/>
        <v>300000</v>
      </c>
      <c r="R326" s="166">
        <f t="shared" si="223"/>
        <v>300000</v>
      </c>
      <c r="S326" s="173">
        <v>62000</v>
      </c>
      <c r="T326" s="181"/>
      <c r="U326" s="174">
        <f>S326</f>
        <v>62000</v>
      </c>
      <c r="V326" s="182">
        <v>260000</v>
      </c>
      <c r="W326" s="175">
        <v>0</v>
      </c>
      <c r="X326" s="181"/>
      <c r="Y326" s="181">
        <f t="shared" si="225"/>
        <v>0</v>
      </c>
      <c r="Z326" s="181"/>
      <c r="AA326" s="181"/>
      <c r="AB326" s="176"/>
      <c r="AC326" s="158">
        <f t="shared" si="215"/>
        <v>260000</v>
      </c>
      <c r="AD326" s="181"/>
      <c r="AE326" s="181"/>
      <c r="AF326" s="174"/>
      <c r="AG326" s="174">
        <f t="shared" si="226"/>
        <v>260000</v>
      </c>
      <c r="AH326" s="176"/>
      <c r="AI326" s="35">
        <f t="shared" si="216"/>
        <v>0</v>
      </c>
      <c r="AJ326" s="11">
        <f t="shared" si="217"/>
        <v>0</v>
      </c>
      <c r="AK326" s="11">
        <f t="shared" si="218"/>
        <v>0</v>
      </c>
      <c r="AL326" s="11">
        <f t="shared" si="219"/>
        <v>260000</v>
      </c>
      <c r="AM326" s="76">
        <f t="shared" si="220"/>
        <v>0</v>
      </c>
      <c r="AN326" s="51">
        <f t="shared" si="221"/>
        <v>260000</v>
      </c>
      <c r="AO326" s="41"/>
      <c r="AP326" s="14"/>
      <c r="AQ326" s="14"/>
      <c r="AR326" s="14"/>
      <c r="AS326" s="14"/>
      <c r="AT326" s="14"/>
      <c r="AU326" s="14"/>
      <c r="AV326" s="9"/>
      <c r="AW326" s="10"/>
      <c r="AY326" s="11">
        <f t="shared" si="224"/>
        <v>0</v>
      </c>
    </row>
    <row r="327" spans="5:56" ht="60" customHeight="1" x14ac:dyDescent="0.2">
      <c r="E327" s="151">
        <f t="shared" si="214"/>
        <v>40928</v>
      </c>
      <c r="F327" s="170" t="s">
        <v>459</v>
      </c>
      <c r="G327" s="173"/>
      <c r="H327" s="174"/>
      <c r="I327" s="175"/>
      <c r="J327" s="176"/>
      <c r="K327" s="175"/>
      <c r="L327" s="176"/>
      <c r="M327" s="175"/>
      <c r="N327" s="176"/>
      <c r="O327" s="175">
        <v>1000000</v>
      </c>
      <c r="P327" s="176">
        <v>1000000</v>
      </c>
      <c r="Q327" s="165">
        <f t="shared" si="223"/>
        <v>1000000</v>
      </c>
      <c r="R327" s="166">
        <f t="shared" si="223"/>
        <v>1000000</v>
      </c>
      <c r="S327" s="173">
        <v>814000</v>
      </c>
      <c r="T327" s="181"/>
      <c r="U327" s="174">
        <f>S327</f>
        <v>814000</v>
      </c>
      <c r="V327" s="182">
        <v>800000</v>
      </c>
      <c r="W327" s="175">
        <v>400000</v>
      </c>
      <c r="X327" s="181"/>
      <c r="Y327" s="181"/>
      <c r="Z327" s="181"/>
      <c r="AA327" s="181">
        <f>W327</f>
        <v>400000</v>
      </c>
      <c r="AB327" s="176"/>
      <c r="AC327" s="158">
        <f t="shared" si="215"/>
        <v>400000</v>
      </c>
      <c r="AD327" s="181"/>
      <c r="AE327" s="181"/>
      <c r="AF327" s="174"/>
      <c r="AG327" s="174">
        <f t="shared" si="226"/>
        <v>400000</v>
      </c>
      <c r="AH327" s="176"/>
      <c r="AI327" s="35">
        <f t="shared" si="216"/>
        <v>0</v>
      </c>
      <c r="AJ327" s="11">
        <f t="shared" si="217"/>
        <v>0</v>
      </c>
      <c r="AK327" s="11">
        <f t="shared" si="218"/>
        <v>0</v>
      </c>
      <c r="AL327" s="11">
        <f t="shared" si="219"/>
        <v>800000</v>
      </c>
      <c r="AM327" s="76">
        <f t="shared" si="220"/>
        <v>0</v>
      </c>
      <c r="AN327" s="51">
        <f t="shared" si="221"/>
        <v>800000</v>
      </c>
      <c r="AO327" s="41"/>
      <c r="AP327" s="14"/>
      <c r="AQ327" s="14"/>
      <c r="AR327" s="14"/>
      <c r="AS327" s="14"/>
      <c r="AT327" s="14"/>
      <c r="AU327" s="14"/>
      <c r="AV327" s="9"/>
      <c r="AW327" s="10"/>
      <c r="AY327" s="11">
        <f t="shared" si="224"/>
        <v>0</v>
      </c>
    </row>
    <row r="328" spans="5:56" ht="60" customHeight="1" x14ac:dyDescent="0.2">
      <c r="E328" s="151">
        <f t="shared" si="214"/>
        <v>40929</v>
      </c>
      <c r="F328" s="170" t="s">
        <v>460</v>
      </c>
      <c r="G328" s="173"/>
      <c r="H328" s="174"/>
      <c r="I328" s="175"/>
      <c r="J328" s="176"/>
      <c r="K328" s="175"/>
      <c r="L328" s="176"/>
      <c r="M328" s="175"/>
      <c r="N328" s="176"/>
      <c r="O328" s="175"/>
      <c r="P328" s="176"/>
      <c r="Q328" s="165"/>
      <c r="R328" s="166"/>
      <c r="S328" s="173"/>
      <c r="T328" s="181"/>
      <c r="U328" s="174"/>
      <c r="V328" s="182">
        <v>160000</v>
      </c>
      <c r="W328" s="175">
        <v>0</v>
      </c>
      <c r="X328" s="181"/>
      <c r="Y328" s="181">
        <f t="shared" si="225"/>
        <v>0</v>
      </c>
      <c r="Z328" s="181"/>
      <c r="AA328" s="181"/>
      <c r="AB328" s="176"/>
      <c r="AC328" s="158">
        <f t="shared" si="215"/>
        <v>160000</v>
      </c>
      <c r="AD328" s="181"/>
      <c r="AE328" s="181"/>
      <c r="AF328" s="174"/>
      <c r="AG328" s="174">
        <f t="shared" si="226"/>
        <v>160000</v>
      </c>
      <c r="AH328" s="176"/>
      <c r="AI328" s="35">
        <f t="shared" si="216"/>
        <v>0</v>
      </c>
      <c r="AJ328" s="11">
        <f t="shared" si="217"/>
        <v>0</v>
      </c>
      <c r="AK328" s="11">
        <f t="shared" si="218"/>
        <v>0</v>
      </c>
      <c r="AL328" s="11">
        <f t="shared" si="219"/>
        <v>160000</v>
      </c>
      <c r="AM328" s="76">
        <f t="shared" si="220"/>
        <v>0</v>
      </c>
      <c r="AN328" s="51">
        <f t="shared" si="221"/>
        <v>160000</v>
      </c>
      <c r="AO328" s="41"/>
      <c r="AP328" s="14"/>
      <c r="AQ328" s="14"/>
      <c r="AR328" s="14"/>
      <c r="AS328" s="14"/>
      <c r="AT328" s="14"/>
      <c r="AU328" s="14"/>
      <c r="AV328" s="9"/>
      <c r="AW328" s="10"/>
      <c r="AY328" s="11">
        <f t="shared" si="224"/>
        <v>0</v>
      </c>
    </row>
    <row r="329" spans="5:56" ht="60" customHeight="1" x14ac:dyDescent="0.2">
      <c r="E329" s="151">
        <f t="shared" si="214"/>
        <v>40930</v>
      </c>
      <c r="F329" s="170" t="s">
        <v>413</v>
      </c>
      <c r="G329" s="173"/>
      <c r="H329" s="174"/>
      <c r="I329" s="175"/>
      <c r="J329" s="176"/>
      <c r="K329" s="175"/>
      <c r="L329" s="176"/>
      <c r="M329" s="175"/>
      <c r="N329" s="176"/>
      <c r="O329" s="175">
        <v>1000000</v>
      </c>
      <c r="P329" s="176"/>
      <c r="Q329" s="165">
        <f t="shared" si="223"/>
        <v>1000000</v>
      </c>
      <c r="R329" s="166">
        <f t="shared" si="223"/>
        <v>0</v>
      </c>
      <c r="S329" s="173"/>
      <c r="T329" s="181"/>
      <c r="U329" s="174"/>
      <c r="V329" s="182">
        <v>1000000</v>
      </c>
      <c r="W329" s="175">
        <f>V329</f>
        <v>1000000</v>
      </c>
      <c r="X329" s="181">
        <f>W329</f>
        <v>1000000</v>
      </c>
      <c r="Y329" s="181"/>
      <c r="Z329" s="181"/>
      <c r="AA329" s="181"/>
      <c r="AB329" s="176"/>
      <c r="AC329" s="158">
        <f t="shared" si="215"/>
        <v>0</v>
      </c>
      <c r="AD329" s="181"/>
      <c r="AE329" s="181"/>
      <c r="AF329" s="174"/>
      <c r="AG329" s="174"/>
      <c r="AH329" s="176"/>
      <c r="AI329" s="35">
        <f t="shared" si="216"/>
        <v>1000000</v>
      </c>
      <c r="AJ329" s="11">
        <f t="shared" si="217"/>
        <v>0</v>
      </c>
      <c r="AK329" s="11">
        <f t="shared" si="218"/>
        <v>0</v>
      </c>
      <c r="AL329" s="11">
        <f t="shared" si="219"/>
        <v>0</v>
      </c>
      <c r="AM329" s="76">
        <f t="shared" si="220"/>
        <v>0</v>
      </c>
      <c r="AN329" s="51">
        <f t="shared" si="221"/>
        <v>0</v>
      </c>
      <c r="AO329" s="41"/>
      <c r="AP329" s="14"/>
      <c r="AQ329" s="14"/>
      <c r="AR329" s="14"/>
      <c r="AS329" s="14"/>
      <c r="AT329" s="14"/>
      <c r="AU329" s="14"/>
      <c r="AV329" s="9"/>
      <c r="AW329" s="10"/>
      <c r="AY329" s="11">
        <f t="shared" si="224"/>
        <v>0</v>
      </c>
    </row>
    <row r="330" spans="5:56" ht="60" customHeight="1" x14ac:dyDescent="0.2">
      <c r="E330" s="151">
        <f t="shared" si="214"/>
        <v>40931</v>
      </c>
      <c r="F330" s="170" t="s">
        <v>461</v>
      </c>
      <c r="G330" s="173"/>
      <c r="H330" s="174"/>
      <c r="I330" s="175"/>
      <c r="J330" s="176"/>
      <c r="K330" s="175"/>
      <c r="L330" s="176"/>
      <c r="M330" s="175"/>
      <c r="N330" s="176"/>
      <c r="O330" s="175"/>
      <c r="P330" s="176"/>
      <c r="Q330" s="165"/>
      <c r="R330" s="166"/>
      <c r="S330" s="173"/>
      <c r="T330" s="181"/>
      <c r="U330" s="174"/>
      <c r="V330" s="182">
        <v>5000000</v>
      </c>
      <c r="W330" s="175">
        <v>0</v>
      </c>
      <c r="X330" s="181"/>
      <c r="Y330" s="181"/>
      <c r="Z330" s="181">
        <f>W330</f>
        <v>0</v>
      </c>
      <c r="AA330" s="181"/>
      <c r="AB330" s="176"/>
      <c r="AC330" s="158">
        <f t="shared" si="215"/>
        <v>5000000</v>
      </c>
      <c r="AD330" s="181"/>
      <c r="AE330" s="181">
        <f>AC330</f>
        <v>5000000</v>
      </c>
      <c r="AF330" s="174"/>
      <c r="AG330" s="174"/>
      <c r="AH330" s="176"/>
      <c r="AI330" s="35">
        <f t="shared" si="216"/>
        <v>0</v>
      </c>
      <c r="AJ330" s="11">
        <f t="shared" si="217"/>
        <v>5000000</v>
      </c>
      <c r="AK330" s="11">
        <f t="shared" si="218"/>
        <v>0</v>
      </c>
      <c r="AL330" s="11">
        <f t="shared" si="219"/>
        <v>0</v>
      </c>
      <c r="AM330" s="76">
        <f t="shared" si="220"/>
        <v>0</v>
      </c>
      <c r="AN330" s="51">
        <f t="shared" si="221"/>
        <v>5000000</v>
      </c>
      <c r="AO330" s="41"/>
      <c r="AP330" s="14"/>
      <c r="AQ330" s="14"/>
      <c r="AR330" s="14"/>
      <c r="AS330" s="14"/>
      <c r="AT330" s="14"/>
      <c r="AU330" s="14"/>
      <c r="AV330" s="9"/>
      <c r="AW330" s="10"/>
      <c r="AY330" s="11">
        <f t="shared" si="224"/>
        <v>0</v>
      </c>
    </row>
    <row r="331" spans="5:56" ht="60" customHeight="1" x14ac:dyDescent="0.2">
      <c r="E331" s="151">
        <f t="shared" si="214"/>
        <v>40932</v>
      </c>
      <c r="F331" s="170" t="s">
        <v>462</v>
      </c>
      <c r="G331" s="173"/>
      <c r="H331" s="174"/>
      <c r="I331" s="175"/>
      <c r="J331" s="176"/>
      <c r="K331" s="175"/>
      <c r="L331" s="176"/>
      <c r="M331" s="175"/>
      <c r="N331" s="176"/>
      <c r="O331" s="175"/>
      <c r="P331" s="176"/>
      <c r="Q331" s="165"/>
      <c r="R331" s="166"/>
      <c r="S331" s="173"/>
      <c r="T331" s="181"/>
      <c r="U331" s="174"/>
      <c r="V331" s="182">
        <v>85000</v>
      </c>
      <c r="W331" s="175">
        <f>V331</f>
        <v>85000</v>
      </c>
      <c r="X331" s="181"/>
      <c r="Y331" s="181"/>
      <c r="Z331" s="181"/>
      <c r="AA331" s="181">
        <f>W331</f>
        <v>85000</v>
      </c>
      <c r="AB331" s="176"/>
      <c r="AC331" s="158">
        <f t="shared" si="215"/>
        <v>0</v>
      </c>
      <c r="AD331" s="181"/>
      <c r="AE331" s="181"/>
      <c r="AF331" s="174"/>
      <c r="AG331" s="174">
        <f>AC331</f>
        <v>0</v>
      </c>
      <c r="AH331" s="176"/>
      <c r="AI331" s="35">
        <f t="shared" si="216"/>
        <v>0</v>
      </c>
      <c r="AJ331" s="11">
        <f t="shared" si="217"/>
        <v>0</v>
      </c>
      <c r="AK331" s="11">
        <f t="shared" si="218"/>
        <v>0</v>
      </c>
      <c r="AL331" s="11">
        <f t="shared" si="219"/>
        <v>85000</v>
      </c>
      <c r="AM331" s="76">
        <f t="shared" si="220"/>
        <v>0</v>
      </c>
      <c r="AN331" s="51">
        <f t="shared" si="221"/>
        <v>85000</v>
      </c>
      <c r="AO331" s="41"/>
      <c r="AP331" s="14"/>
      <c r="AQ331" s="14"/>
      <c r="AR331" s="14"/>
      <c r="AS331" s="14"/>
      <c r="AT331" s="14"/>
      <c r="AU331" s="14"/>
      <c r="AV331" s="9"/>
      <c r="AW331" s="10"/>
      <c r="AY331" s="11">
        <f t="shared" si="224"/>
        <v>0</v>
      </c>
    </row>
    <row r="332" spans="5:56" ht="60" customHeight="1" x14ac:dyDescent="0.2">
      <c r="E332" s="151">
        <f t="shared" si="214"/>
        <v>40933</v>
      </c>
      <c r="F332" s="170" t="s">
        <v>463</v>
      </c>
      <c r="G332" s="173"/>
      <c r="H332" s="174"/>
      <c r="I332" s="175"/>
      <c r="J332" s="176"/>
      <c r="K332" s="175"/>
      <c r="L332" s="176"/>
      <c r="M332" s="175"/>
      <c r="N332" s="176"/>
      <c r="O332" s="175"/>
      <c r="P332" s="176"/>
      <c r="Q332" s="165"/>
      <c r="R332" s="166"/>
      <c r="S332" s="173"/>
      <c r="T332" s="181"/>
      <c r="U332" s="174"/>
      <c r="V332" s="182">
        <v>380000</v>
      </c>
      <c r="W332" s="175">
        <v>0</v>
      </c>
      <c r="X332" s="181"/>
      <c r="Y332" s="181">
        <f t="shared" si="225"/>
        <v>0</v>
      </c>
      <c r="Z332" s="181"/>
      <c r="AA332" s="181"/>
      <c r="AB332" s="176"/>
      <c r="AC332" s="158">
        <f t="shared" si="215"/>
        <v>380000</v>
      </c>
      <c r="AD332" s="181"/>
      <c r="AE332" s="181"/>
      <c r="AF332" s="174"/>
      <c r="AG332" s="174">
        <f>AC332</f>
        <v>380000</v>
      </c>
      <c r="AH332" s="176"/>
      <c r="AI332" s="35">
        <f t="shared" si="216"/>
        <v>0</v>
      </c>
      <c r="AJ332" s="11">
        <f t="shared" si="217"/>
        <v>0</v>
      </c>
      <c r="AK332" s="11">
        <f t="shared" si="218"/>
        <v>0</v>
      </c>
      <c r="AL332" s="11">
        <f t="shared" si="219"/>
        <v>380000</v>
      </c>
      <c r="AM332" s="76">
        <f t="shared" si="220"/>
        <v>0</v>
      </c>
      <c r="AN332" s="51">
        <f t="shared" si="221"/>
        <v>380000</v>
      </c>
      <c r="AO332" s="41"/>
      <c r="AP332" s="14"/>
      <c r="AQ332" s="14"/>
      <c r="AR332" s="14"/>
      <c r="AS332" s="14"/>
      <c r="AT332" s="14"/>
      <c r="AU332" s="14"/>
      <c r="AV332" s="9"/>
      <c r="AW332" s="10"/>
      <c r="AY332" s="11">
        <f t="shared" si="224"/>
        <v>0</v>
      </c>
    </row>
    <row r="333" spans="5:56" ht="60" customHeight="1" x14ac:dyDescent="0.2">
      <c r="E333" s="151">
        <f t="shared" si="214"/>
        <v>40934</v>
      </c>
      <c r="F333" s="170" t="s">
        <v>464</v>
      </c>
      <c r="G333" s="173"/>
      <c r="H333" s="174"/>
      <c r="I333" s="175"/>
      <c r="J333" s="176"/>
      <c r="K333" s="175"/>
      <c r="L333" s="176"/>
      <c r="M333" s="175"/>
      <c r="N333" s="176"/>
      <c r="O333" s="175"/>
      <c r="P333" s="176"/>
      <c r="Q333" s="165"/>
      <c r="R333" s="166"/>
      <c r="S333" s="173"/>
      <c r="T333" s="181"/>
      <c r="U333" s="174"/>
      <c r="V333" s="182">
        <v>200000</v>
      </c>
      <c r="W333" s="175">
        <v>200000</v>
      </c>
      <c r="X333" s="181"/>
      <c r="Y333" s="181"/>
      <c r="Z333" s="181">
        <f>W333</f>
        <v>200000</v>
      </c>
      <c r="AA333" s="181"/>
      <c r="AB333" s="176"/>
      <c r="AC333" s="158">
        <f t="shared" si="215"/>
        <v>0</v>
      </c>
      <c r="AD333" s="181"/>
      <c r="AE333" s="181"/>
      <c r="AF333" s="174"/>
      <c r="AG333" s="174"/>
      <c r="AH333" s="176">
        <f>V333-Z333</f>
        <v>0</v>
      </c>
      <c r="AI333" s="35">
        <f t="shared" si="216"/>
        <v>0</v>
      </c>
      <c r="AJ333" s="11">
        <f t="shared" si="217"/>
        <v>0</v>
      </c>
      <c r="AK333" s="11">
        <f t="shared" si="218"/>
        <v>200000</v>
      </c>
      <c r="AL333" s="11">
        <f t="shared" si="219"/>
        <v>0</v>
      </c>
      <c r="AM333" s="76">
        <f t="shared" si="220"/>
        <v>0</v>
      </c>
      <c r="AN333" s="51">
        <f t="shared" si="221"/>
        <v>200000</v>
      </c>
      <c r="AO333" s="41"/>
      <c r="AP333" s="14"/>
      <c r="AQ333" s="14"/>
      <c r="AR333" s="14"/>
      <c r="AS333" s="14"/>
      <c r="AT333" s="14"/>
      <c r="AU333" s="14"/>
      <c r="AV333" s="9"/>
      <c r="AW333" s="10"/>
      <c r="AY333" s="11">
        <f t="shared" si="224"/>
        <v>0</v>
      </c>
    </row>
    <row r="334" spans="5:56" ht="60" customHeight="1" x14ac:dyDescent="0.2">
      <c r="E334" s="151">
        <f t="shared" si="214"/>
        <v>40935</v>
      </c>
      <c r="F334" s="170" t="s">
        <v>547</v>
      </c>
      <c r="G334" s="173"/>
      <c r="H334" s="174"/>
      <c r="I334" s="175"/>
      <c r="J334" s="176"/>
      <c r="K334" s="175"/>
      <c r="L334" s="176"/>
      <c r="M334" s="175"/>
      <c r="N334" s="176"/>
      <c r="O334" s="175"/>
      <c r="P334" s="176"/>
      <c r="Q334" s="165"/>
      <c r="R334" s="166"/>
      <c r="S334" s="173"/>
      <c r="T334" s="181"/>
      <c r="U334" s="174"/>
      <c r="V334" s="182">
        <v>220000</v>
      </c>
      <c r="W334" s="175"/>
      <c r="X334" s="181"/>
      <c r="Y334" s="181"/>
      <c r="Z334" s="181"/>
      <c r="AA334" s="181"/>
      <c r="AB334" s="176"/>
      <c r="AC334" s="158">
        <f>V334</f>
        <v>220000</v>
      </c>
      <c r="AD334" s="181"/>
      <c r="AE334" s="181"/>
      <c r="AF334" s="174">
        <f>AC334</f>
        <v>220000</v>
      </c>
      <c r="AG334" s="174"/>
      <c r="AH334" s="176"/>
      <c r="AI334" s="35">
        <f t="shared" si="216"/>
        <v>0</v>
      </c>
      <c r="AJ334" s="11">
        <f t="shared" si="217"/>
        <v>0</v>
      </c>
      <c r="AK334" s="11">
        <f t="shared" si="218"/>
        <v>220000</v>
      </c>
      <c r="AL334" s="11">
        <f t="shared" si="219"/>
        <v>0</v>
      </c>
      <c r="AM334" s="76">
        <f t="shared" si="220"/>
        <v>0</v>
      </c>
      <c r="AN334" s="51">
        <f t="shared" si="221"/>
        <v>220000</v>
      </c>
      <c r="AO334" s="41"/>
      <c r="AP334" s="14"/>
      <c r="AQ334" s="14"/>
      <c r="AR334" s="14"/>
      <c r="AS334" s="14"/>
      <c r="AT334" s="14"/>
      <c r="AU334" s="14"/>
      <c r="AV334" s="9"/>
      <c r="AW334" s="10"/>
      <c r="AY334" s="11"/>
    </row>
    <row r="335" spans="5:56" ht="60" customHeight="1" x14ac:dyDescent="0.2">
      <c r="E335" s="149"/>
      <c r="F335" s="127" t="s">
        <v>168</v>
      </c>
      <c r="G335" s="118">
        <f t="shared" ref="G335:AW335" si="227">SUM(G300:G333)</f>
        <v>8980000</v>
      </c>
      <c r="H335" s="116">
        <f t="shared" si="227"/>
        <v>9064231</v>
      </c>
      <c r="I335" s="115">
        <f t="shared" si="227"/>
        <v>17030000</v>
      </c>
      <c r="J335" s="117">
        <f t="shared" si="227"/>
        <v>17022500</v>
      </c>
      <c r="K335" s="115">
        <f t="shared" si="227"/>
        <v>20334000</v>
      </c>
      <c r="L335" s="117">
        <f t="shared" si="227"/>
        <v>19723800</v>
      </c>
      <c r="M335" s="115">
        <f t="shared" si="227"/>
        <v>44395480</v>
      </c>
      <c r="N335" s="117">
        <f t="shared" si="227"/>
        <v>44024439</v>
      </c>
      <c r="O335" s="115">
        <f t="shared" si="227"/>
        <v>51260000</v>
      </c>
      <c r="P335" s="117">
        <f t="shared" si="227"/>
        <v>29076500</v>
      </c>
      <c r="Q335" s="115">
        <f t="shared" si="227"/>
        <v>6864520</v>
      </c>
      <c r="R335" s="117">
        <f t="shared" si="227"/>
        <v>-14947939</v>
      </c>
      <c r="S335" s="118">
        <f t="shared" si="227"/>
        <v>10849000</v>
      </c>
      <c r="T335" s="120">
        <f t="shared" si="227"/>
        <v>5050000</v>
      </c>
      <c r="U335" s="116">
        <f t="shared" si="227"/>
        <v>5799000</v>
      </c>
      <c r="V335" s="119">
        <f>SUM(V300:V334)</f>
        <v>48263000</v>
      </c>
      <c r="W335" s="115">
        <f t="shared" ref="W335:AM335" si="228">SUM(W300:W334)</f>
        <v>21070000</v>
      </c>
      <c r="X335" s="120">
        <f t="shared" si="228"/>
        <v>10000000</v>
      </c>
      <c r="Y335" s="120">
        <f t="shared" si="228"/>
        <v>0</v>
      </c>
      <c r="Z335" s="120">
        <f t="shared" si="228"/>
        <v>6600000</v>
      </c>
      <c r="AA335" s="120">
        <f t="shared" si="228"/>
        <v>4470000</v>
      </c>
      <c r="AB335" s="117">
        <f t="shared" si="228"/>
        <v>0</v>
      </c>
      <c r="AC335" s="115">
        <f t="shared" si="228"/>
        <v>27193000</v>
      </c>
      <c r="AD335" s="120">
        <f t="shared" si="228"/>
        <v>0</v>
      </c>
      <c r="AE335" s="120">
        <f t="shared" si="228"/>
        <v>5000000</v>
      </c>
      <c r="AF335" s="116">
        <f t="shared" si="228"/>
        <v>11402000</v>
      </c>
      <c r="AG335" s="116">
        <f t="shared" si="228"/>
        <v>10791000</v>
      </c>
      <c r="AH335" s="117">
        <f t="shared" si="228"/>
        <v>0</v>
      </c>
      <c r="AI335" s="47">
        <f t="shared" si="228"/>
        <v>10000000</v>
      </c>
      <c r="AJ335" s="10">
        <f t="shared" si="228"/>
        <v>5000000</v>
      </c>
      <c r="AK335" s="10">
        <f t="shared" si="228"/>
        <v>18002000</v>
      </c>
      <c r="AL335" s="10">
        <f t="shared" si="228"/>
        <v>15261000</v>
      </c>
      <c r="AM335" s="48">
        <f t="shared" si="228"/>
        <v>0</v>
      </c>
      <c r="AN335" s="52">
        <f>SUM(AN300:AN334)</f>
        <v>38263000</v>
      </c>
      <c r="AO335" s="39">
        <f t="shared" si="227"/>
        <v>0</v>
      </c>
      <c r="AP335" s="10">
        <f t="shared" si="227"/>
        <v>0</v>
      </c>
      <c r="AQ335" s="10">
        <f t="shared" si="227"/>
        <v>0</v>
      </c>
      <c r="AR335" s="10">
        <f t="shared" si="227"/>
        <v>0</v>
      </c>
      <c r="AS335" s="10">
        <f t="shared" si="227"/>
        <v>0</v>
      </c>
      <c r="AT335" s="10">
        <f t="shared" si="227"/>
        <v>0</v>
      </c>
      <c r="AU335" s="10">
        <f t="shared" si="227"/>
        <v>0</v>
      </c>
      <c r="AV335" s="10">
        <f t="shared" si="227"/>
        <v>0</v>
      </c>
      <c r="AW335" s="10">
        <f t="shared" si="227"/>
        <v>0</v>
      </c>
      <c r="AY335" s="11">
        <f t="shared" ref="AY335:AY364" si="229">V335-W335-AC335</f>
        <v>0</v>
      </c>
      <c r="BD335" s="61"/>
    </row>
    <row r="336" spans="5:56" ht="60" customHeight="1" x14ac:dyDescent="0.2">
      <c r="E336" s="151">
        <v>41000</v>
      </c>
      <c r="F336" s="155" t="s">
        <v>169</v>
      </c>
      <c r="G336" s="156"/>
      <c r="H336" s="157"/>
      <c r="I336" s="158"/>
      <c r="J336" s="159"/>
      <c r="K336" s="158"/>
      <c r="L336" s="159"/>
      <c r="M336" s="158"/>
      <c r="N336" s="159"/>
      <c r="O336" s="158"/>
      <c r="P336" s="159"/>
      <c r="Q336" s="158"/>
      <c r="R336" s="159"/>
      <c r="S336" s="156"/>
      <c r="T336" s="160"/>
      <c r="U336" s="157"/>
      <c r="V336" s="161"/>
      <c r="W336" s="158"/>
      <c r="X336" s="160"/>
      <c r="Y336" s="160"/>
      <c r="Z336" s="160"/>
      <c r="AA336" s="160"/>
      <c r="AB336" s="159"/>
      <c r="AC336" s="158"/>
      <c r="AD336" s="160"/>
      <c r="AE336" s="160"/>
      <c r="AF336" s="157"/>
      <c r="AG336" s="157"/>
      <c r="AH336" s="159"/>
      <c r="AI336" s="45"/>
      <c r="AJ336" s="9"/>
      <c r="AK336" s="9"/>
      <c r="AL336" s="9"/>
      <c r="AM336" s="46"/>
      <c r="AN336" s="50"/>
      <c r="AO336" s="36"/>
      <c r="AP336" s="9"/>
      <c r="AQ336" s="9"/>
      <c r="AR336" s="9"/>
      <c r="AS336" s="9"/>
      <c r="AT336" s="9"/>
      <c r="AU336" s="9"/>
      <c r="AV336" s="9"/>
      <c r="AW336" s="10">
        <f t="shared" ref="AW336:AW342" si="230">AP336-AQ336-AV336</f>
        <v>0</v>
      </c>
      <c r="AY336" s="11">
        <f t="shared" si="229"/>
        <v>0</v>
      </c>
    </row>
    <row r="337" spans="5:51" ht="60" customHeight="1" x14ac:dyDescent="0.2">
      <c r="E337" s="151">
        <f t="shared" ref="E337:E345" si="231">+E336+1</f>
        <v>41001</v>
      </c>
      <c r="F337" s="170" t="s">
        <v>170</v>
      </c>
      <c r="G337" s="156">
        <v>1500000</v>
      </c>
      <c r="H337" s="157">
        <f>G337</f>
        <v>1500000</v>
      </c>
      <c r="I337" s="158">
        <v>2000000</v>
      </c>
      <c r="J337" s="159">
        <v>2000000</v>
      </c>
      <c r="K337" s="158">
        <v>2000000</v>
      </c>
      <c r="L337" s="159">
        <v>1800000</v>
      </c>
      <c r="M337" s="158">
        <v>2000000</v>
      </c>
      <c r="N337" s="159">
        <v>2000000</v>
      </c>
      <c r="O337" s="158">
        <v>4310000</v>
      </c>
      <c r="P337" s="159">
        <v>4310000</v>
      </c>
      <c r="Q337" s="165">
        <f>O337-M337</f>
        <v>2310000</v>
      </c>
      <c r="R337" s="166">
        <f>P337-N337</f>
        <v>2310000</v>
      </c>
      <c r="S337" s="156">
        <v>1405000</v>
      </c>
      <c r="T337" s="160"/>
      <c r="U337" s="164">
        <f t="shared" ref="U337:U342" si="232">S337</f>
        <v>1405000</v>
      </c>
      <c r="V337" s="161">
        <v>4000000</v>
      </c>
      <c r="W337" s="158">
        <v>2000000</v>
      </c>
      <c r="X337" s="160"/>
      <c r="Y337" s="160"/>
      <c r="Z337" s="160">
        <f>W337</f>
        <v>2000000</v>
      </c>
      <c r="AA337" s="160"/>
      <c r="AB337" s="159"/>
      <c r="AC337" s="158">
        <f t="shared" ref="AC337:AC345" si="233">V337-W337</f>
        <v>2000000</v>
      </c>
      <c r="AD337" s="160"/>
      <c r="AE337" s="160"/>
      <c r="AF337" s="157">
        <f>AC337</f>
        <v>2000000</v>
      </c>
      <c r="AG337" s="157"/>
      <c r="AH337" s="159"/>
      <c r="AI337" s="35">
        <f t="shared" ref="AI337:AI345" si="234">AD337+X337</f>
        <v>0</v>
      </c>
      <c r="AJ337" s="11">
        <f t="shared" ref="AJ337:AJ345" si="235">AE337+Y337</f>
        <v>0</v>
      </c>
      <c r="AK337" s="11">
        <f t="shared" ref="AK337:AK345" si="236">AF337+Z337</f>
        <v>4000000</v>
      </c>
      <c r="AL337" s="11">
        <f t="shared" ref="AL337:AL345" si="237">AG337+AA337</f>
        <v>0</v>
      </c>
      <c r="AM337" s="76">
        <f t="shared" ref="AM337:AM345" si="238">AH337+AB337</f>
        <v>0</v>
      </c>
      <c r="AN337" s="51">
        <f t="shared" ref="AN337:AN345" si="239">SUM(AJ337:AM337)</f>
        <v>4000000</v>
      </c>
      <c r="AO337" s="36"/>
      <c r="AP337" s="9"/>
      <c r="AQ337" s="9"/>
      <c r="AR337" s="9"/>
      <c r="AS337" s="9"/>
      <c r="AT337" s="9"/>
      <c r="AU337" s="9"/>
      <c r="AV337" s="9">
        <f t="shared" ref="AV337:AV345" si="240">AU337+AT337+AS337+AR337</f>
        <v>0</v>
      </c>
      <c r="AW337" s="10">
        <f t="shared" si="230"/>
        <v>0</v>
      </c>
      <c r="AY337" s="11">
        <f t="shared" si="229"/>
        <v>0</v>
      </c>
    </row>
    <row r="338" spans="5:51" ht="60" customHeight="1" x14ac:dyDescent="0.2">
      <c r="E338" s="151">
        <f t="shared" si="231"/>
        <v>41002</v>
      </c>
      <c r="F338" s="170" t="s">
        <v>171</v>
      </c>
      <c r="G338" s="156">
        <v>1135000</v>
      </c>
      <c r="H338" s="157">
        <v>1000000</v>
      </c>
      <c r="I338" s="158">
        <v>1000000</v>
      </c>
      <c r="J338" s="159">
        <f>I338</f>
        <v>1000000</v>
      </c>
      <c r="K338" s="158">
        <v>1000000</v>
      </c>
      <c r="L338" s="159">
        <v>1000000</v>
      </c>
      <c r="M338" s="158">
        <v>1000000</v>
      </c>
      <c r="N338" s="159">
        <v>1000000</v>
      </c>
      <c r="O338" s="158">
        <v>1000000</v>
      </c>
      <c r="P338" s="159">
        <v>1000000</v>
      </c>
      <c r="Q338" s="165">
        <f t="shared" ref="Q338:R345" si="241">O338-M338</f>
        <v>0</v>
      </c>
      <c r="R338" s="166">
        <f t="shared" si="241"/>
        <v>0</v>
      </c>
      <c r="S338" s="156">
        <v>110000</v>
      </c>
      <c r="T338" s="160"/>
      <c r="U338" s="164">
        <f t="shared" si="232"/>
        <v>110000</v>
      </c>
      <c r="V338" s="161">
        <v>1500000</v>
      </c>
      <c r="W338" s="158">
        <v>1000000</v>
      </c>
      <c r="X338" s="160"/>
      <c r="Y338" s="160"/>
      <c r="Z338" s="160">
        <f>W338</f>
        <v>1000000</v>
      </c>
      <c r="AA338" s="160"/>
      <c r="AB338" s="159"/>
      <c r="AC338" s="158">
        <f t="shared" si="233"/>
        <v>500000</v>
      </c>
      <c r="AD338" s="160"/>
      <c r="AE338" s="160"/>
      <c r="AF338" s="157">
        <f>AC338</f>
        <v>500000</v>
      </c>
      <c r="AG338" s="157"/>
      <c r="AH338" s="159"/>
      <c r="AI338" s="35">
        <f t="shared" si="234"/>
        <v>0</v>
      </c>
      <c r="AJ338" s="11">
        <f t="shared" si="235"/>
        <v>0</v>
      </c>
      <c r="AK338" s="11">
        <f t="shared" si="236"/>
        <v>1500000</v>
      </c>
      <c r="AL338" s="11">
        <f t="shared" si="237"/>
        <v>0</v>
      </c>
      <c r="AM338" s="76">
        <f t="shared" si="238"/>
        <v>0</v>
      </c>
      <c r="AN338" s="51">
        <f t="shared" si="239"/>
        <v>1500000</v>
      </c>
      <c r="AO338" s="36"/>
      <c r="AP338" s="9"/>
      <c r="AQ338" s="9"/>
      <c r="AR338" s="9"/>
      <c r="AS338" s="9"/>
      <c r="AT338" s="9"/>
      <c r="AU338" s="9"/>
      <c r="AV338" s="9">
        <f t="shared" si="240"/>
        <v>0</v>
      </c>
      <c r="AW338" s="10">
        <f t="shared" si="230"/>
        <v>0</v>
      </c>
      <c r="AY338" s="11">
        <f t="shared" si="229"/>
        <v>0</v>
      </c>
    </row>
    <row r="339" spans="5:51" ht="60" customHeight="1" x14ac:dyDescent="0.2">
      <c r="E339" s="151">
        <f t="shared" si="231"/>
        <v>41003</v>
      </c>
      <c r="F339" s="170" t="s">
        <v>172</v>
      </c>
      <c r="G339" s="156">
        <v>100000</v>
      </c>
      <c r="H339" s="157">
        <f>G339</f>
        <v>100000</v>
      </c>
      <c r="I339" s="158">
        <v>100000</v>
      </c>
      <c r="J339" s="159">
        <f>I339</f>
        <v>100000</v>
      </c>
      <c r="K339" s="158">
        <v>100000</v>
      </c>
      <c r="L339" s="159">
        <v>100000</v>
      </c>
      <c r="M339" s="158">
        <v>300000</v>
      </c>
      <c r="N339" s="159">
        <v>300000</v>
      </c>
      <c r="O339" s="158">
        <v>685000</v>
      </c>
      <c r="P339" s="159">
        <v>225000</v>
      </c>
      <c r="Q339" s="165">
        <f t="shared" si="241"/>
        <v>385000</v>
      </c>
      <c r="R339" s="166">
        <f t="shared" si="241"/>
        <v>-75000</v>
      </c>
      <c r="S339" s="156">
        <v>41000</v>
      </c>
      <c r="T339" s="160"/>
      <c r="U339" s="164">
        <f t="shared" si="232"/>
        <v>41000</v>
      </c>
      <c r="V339" s="161">
        <v>730000</v>
      </c>
      <c r="W339" s="158">
        <v>300000</v>
      </c>
      <c r="X339" s="160"/>
      <c r="Y339" s="181"/>
      <c r="Z339" s="181">
        <f>W339</f>
        <v>300000</v>
      </c>
      <c r="AA339" s="181"/>
      <c r="AB339" s="159"/>
      <c r="AC339" s="158">
        <f t="shared" si="233"/>
        <v>430000</v>
      </c>
      <c r="AD339" s="160"/>
      <c r="AE339" s="181"/>
      <c r="AF339" s="157">
        <f>AC339</f>
        <v>430000</v>
      </c>
      <c r="AG339" s="174"/>
      <c r="AH339" s="159"/>
      <c r="AI339" s="35">
        <f t="shared" si="234"/>
        <v>0</v>
      </c>
      <c r="AJ339" s="11">
        <f t="shared" si="235"/>
        <v>0</v>
      </c>
      <c r="AK339" s="11">
        <f t="shared" si="236"/>
        <v>730000</v>
      </c>
      <c r="AL339" s="11">
        <f t="shared" si="237"/>
        <v>0</v>
      </c>
      <c r="AM339" s="76">
        <f t="shared" si="238"/>
        <v>0</v>
      </c>
      <c r="AN339" s="51">
        <f t="shared" si="239"/>
        <v>730000</v>
      </c>
      <c r="AO339" s="36"/>
      <c r="AP339" s="9"/>
      <c r="AQ339" s="9"/>
      <c r="AR339" s="9"/>
      <c r="AS339" s="9"/>
      <c r="AT339" s="9"/>
      <c r="AU339" s="9"/>
      <c r="AV339" s="9">
        <f t="shared" si="240"/>
        <v>0</v>
      </c>
      <c r="AW339" s="10">
        <f t="shared" si="230"/>
        <v>0</v>
      </c>
      <c r="AY339" s="11">
        <f t="shared" si="229"/>
        <v>0</v>
      </c>
    </row>
    <row r="340" spans="5:51" ht="60" customHeight="1" x14ac:dyDescent="0.2">
      <c r="E340" s="151">
        <f t="shared" si="231"/>
        <v>41004</v>
      </c>
      <c r="F340" s="170" t="s">
        <v>173</v>
      </c>
      <c r="G340" s="156">
        <v>300000</v>
      </c>
      <c r="H340" s="157">
        <f>35000+49000+28077+180000</f>
        <v>292077</v>
      </c>
      <c r="I340" s="158">
        <v>588365</v>
      </c>
      <c r="J340" s="159">
        <v>584365</v>
      </c>
      <c r="K340" s="158">
        <v>733000</v>
      </c>
      <c r="L340" s="159">
        <f>44000+95000+29000+34110+31068+308100+190908</f>
        <v>732186</v>
      </c>
      <c r="M340" s="158">
        <v>616000</v>
      </c>
      <c r="N340" s="159">
        <f>223673+18528+22271+86198+69330+8000+142747</f>
        <v>570747</v>
      </c>
      <c r="O340" s="158">
        <v>850000</v>
      </c>
      <c r="P340" s="159">
        <f>422000-413</f>
        <v>421587</v>
      </c>
      <c r="Q340" s="165">
        <f t="shared" si="241"/>
        <v>234000</v>
      </c>
      <c r="R340" s="166">
        <f t="shared" si="241"/>
        <v>-149160</v>
      </c>
      <c r="S340" s="156">
        <v>1269000</v>
      </c>
      <c r="T340" s="160"/>
      <c r="U340" s="164">
        <f t="shared" si="232"/>
        <v>1269000</v>
      </c>
      <c r="V340" s="161">
        <v>600000</v>
      </c>
      <c r="W340" s="158">
        <v>600000</v>
      </c>
      <c r="X340" s="160"/>
      <c r="Y340" s="160"/>
      <c r="Z340" s="160">
        <f>W340</f>
        <v>600000</v>
      </c>
      <c r="AA340" s="160"/>
      <c r="AB340" s="159"/>
      <c r="AC340" s="158">
        <f t="shared" si="233"/>
        <v>0</v>
      </c>
      <c r="AD340" s="160"/>
      <c r="AE340" s="160"/>
      <c r="AF340" s="157"/>
      <c r="AG340" s="157"/>
      <c r="AH340" s="159">
        <f>V340-Z340</f>
        <v>0</v>
      </c>
      <c r="AI340" s="35">
        <f t="shared" si="234"/>
        <v>0</v>
      </c>
      <c r="AJ340" s="11">
        <f t="shared" si="235"/>
        <v>0</v>
      </c>
      <c r="AK340" s="11">
        <f t="shared" si="236"/>
        <v>600000</v>
      </c>
      <c r="AL340" s="11">
        <f t="shared" si="237"/>
        <v>0</v>
      </c>
      <c r="AM340" s="76">
        <f t="shared" si="238"/>
        <v>0</v>
      </c>
      <c r="AN340" s="51">
        <f t="shared" si="239"/>
        <v>600000</v>
      </c>
      <c r="AO340" s="36"/>
      <c r="AP340" s="9"/>
      <c r="AQ340" s="9"/>
      <c r="AR340" s="9"/>
      <c r="AS340" s="9"/>
      <c r="AT340" s="9"/>
      <c r="AU340" s="9"/>
      <c r="AV340" s="9">
        <f t="shared" si="240"/>
        <v>0</v>
      </c>
      <c r="AW340" s="10">
        <f t="shared" si="230"/>
        <v>0</v>
      </c>
      <c r="AY340" s="11">
        <f t="shared" si="229"/>
        <v>0</v>
      </c>
    </row>
    <row r="341" spans="5:51" ht="60" customHeight="1" x14ac:dyDescent="0.2">
      <c r="E341" s="151">
        <f t="shared" si="231"/>
        <v>41005</v>
      </c>
      <c r="F341" s="170" t="s">
        <v>174</v>
      </c>
      <c r="G341" s="156">
        <v>300000</v>
      </c>
      <c r="H341" s="157">
        <f>G341</f>
        <v>300000</v>
      </c>
      <c r="I341" s="158">
        <v>200000</v>
      </c>
      <c r="J341" s="159">
        <f>I341</f>
        <v>200000</v>
      </c>
      <c r="K341" s="158">
        <v>200000</v>
      </c>
      <c r="L341" s="159">
        <v>200000</v>
      </c>
      <c r="M341" s="158">
        <v>300000</v>
      </c>
      <c r="N341" s="159">
        <v>300000</v>
      </c>
      <c r="O341" s="158">
        <v>560000</v>
      </c>
      <c r="P341" s="159">
        <v>75000</v>
      </c>
      <c r="Q341" s="165">
        <f t="shared" si="241"/>
        <v>260000</v>
      </c>
      <c r="R341" s="166">
        <f t="shared" si="241"/>
        <v>-225000</v>
      </c>
      <c r="S341" s="156">
        <v>120000</v>
      </c>
      <c r="T341" s="160"/>
      <c r="U341" s="157">
        <f t="shared" si="232"/>
        <v>120000</v>
      </c>
      <c r="V341" s="161">
        <v>340000</v>
      </c>
      <c r="W341" s="158">
        <v>200000</v>
      </c>
      <c r="X341" s="160"/>
      <c r="Y341" s="160"/>
      <c r="Z341" s="160"/>
      <c r="AA341" s="160">
        <f>W341</f>
        <v>200000</v>
      </c>
      <c r="AB341" s="159"/>
      <c r="AC341" s="158">
        <f t="shared" si="233"/>
        <v>140000</v>
      </c>
      <c r="AD341" s="160"/>
      <c r="AE341" s="160"/>
      <c r="AF341" s="157"/>
      <c r="AG341" s="157">
        <f>AC341</f>
        <v>140000</v>
      </c>
      <c r="AH341" s="159"/>
      <c r="AI341" s="35">
        <f t="shared" si="234"/>
        <v>0</v>
      </c>
      <c r="AJ341" s="11">
        <f t="shared" si="235"/>
        <v>0</v>
      </c>
      <c r="AK341" s="11">
        <f t="shared" si="236"/>
        <v>0</v>
      </c>
      <c r="AL341" s="11">
        <f t="shared" si="237"/>
        <v>340000</v>
      </c>
      <c r="AM341" s="76">
        <f t="shared" si="238"/>
        <v>0</v>
      </c>
      <c r="AN341" s="51">
        <f t="shared" si="239"/>
        <v>340000</v>
      </c>
      <c r="AO341" s="36"/>
      <c r="AP341" s="9"/>
      <c r="AQ341" s="9"/>
      <c r="AR341" s="9"/>
      <c r="AS341" s="9"/>
      <c r="AT341" s="9"/>
      <c r="AU341" s="9"/>
      <c r="AV341" s="9">
        <f t="shared" si="240"/>
        <v>0</v>
      </c>
      <c r="AW341" s="10">
        <f t="shared" si="230"/>
        <v>0</v>
      </c>
      <c r="AY341" s="11">
        <f t="shared" si="229"/>
        <v>0</v>
      </c>
    </row>
    <row r="342" spans="5:51" ht="60" customHeight="1" x14ac:dyDescent="0.2">
      <c r="E342" s="151">
        <f t="shared" si="231"/>
        <v>41006</v>
      </c>
      <c r="F342" s="170" t="s">
        <v>175</v>
      </c>
      <c r="G342" s="156">
        <v>100000</v>
      </c>
      <c r="H342" s="157">
        <f>G342</f>
        <v>100000</v>
      </c>
      <c r="I342" s="158">
        <v>50000</v>
      </c>
      <c r="J342" s="159">
        <f>I342</f>
        <v>50000</v>
      </c>
      <c r="K342" s="158">
        <v>75000</v>
      </c>
      <c r="L342" s="159">
        <v>75000</v>
      </c>
      <c r="M342" s="158">
        <v>75000</v>
      </c>
      <c r="N342" s="159">
        <v>75000</v>
      </c>
      <c r="O342" s="158">
        <v>150000</v>
      </c>
      <c r="P342" s="159">
        <v>36000</v>
      </c>
      <c r="Q342" s="165">
        <f t="shared" si="241"/>
        <v>75000</v>
      </c>
      <c r="R342" s="166">
        <f t="shared" si="241"/>
        <v>-39000</v>
      </c>
      <c r="S342" s="156">
        <v>21000</v>
      </c>
      <c r="T342" s="160"/>
      <c r="U342" s="164">
        <f t="shared" si="232"/>
        <v>21000</v>
      </c>
      <c r="V342" s="161">
        <v>150000</v>
      </c>
      <c r="W342" s="158">
        <v>150000</v>
      </c>
      <c r="X342" s="160"/>
      <c r="Y342" s="160"/>
      <c r="Z342" s="160"/>
      <c r="AA342" s="160">
        <f>W342</f>
        <v>150000</v>
      </c>
      <c r="AB342" s="159"/>
      <c r="AC342" s="158">
        <f t="shared" si="233"/>
        <v>0</v>
      </c>
      <c r="AD342" s="160"/>
      <c r="AE342" s="160"/>
      <c r="AF342" s="157"/>
      <c r="AG342" s="157"/>
      <c r="AH342" s="159"/>
      <c r="AI342" s="35">
        <f t="shared" si="234"/>
        <v>0</v>
      </c>
      <c r="AJ342" s="11">
        <f t="shared" si="235"/>
        <v>0</v>
      </c>
      <c r="AK342" s="11">
        <f t="shared" si="236"/>
        <v>0</v>
      </c>
      <c r="AL342" s="11">
        <f t="shared" si="237"/>
        <v>150000</v>
      </c>
      <c r="AM342" s="76">
        <f t="shared" si="238"/>
        <v>0</v>
      </c>
      <c r="AN342" s="51">
        <f t="shared" si="239"/>
        <v>150000</v>
      </c>
      <c r="AO342" s="36"/>
      <c r="AP342" s="9"/>
      <c r="AQ342" s="9"/>
      <c r="AR342" s="9"/>
      <c r="AS342" s="9"/>
      <c r="AT342" s="9"/>
      <c r="AU342" s="9"/>
      <c r="AV342" s="9">
        <f t="shared" si="240"/>
        <v>0</v>
      </c>
      <c r="AW342" s="10">
        <f t="shared" si="230"/>
        <v>0</v>
      </c>
      <c r="AY342" s="11">
        <f t="shared" si="229"/>
        <v>0</v>
      </c>
    </row>
    <row r="343" spans="5:51" ht="60" customHeight="1" x14ac:dyDescent="0.2">
      <c r="E343" s="151">
        <f t="shared" si="231"/>
        <v>41007</v>
      </c>
      <c r="F343" s="170" t="s">
        <v>465</v>
      </c>
      <c r="G343" s="156"/>
      <c r="H343" s="157"/>
      <c r="I343" s="158"/>
      <c r="J343" s="159"/>
      <c r="K343" s="158"/>
      <c r="L343" s="159"/>
      <c r="M343" s="158"/>
      <c r="N343" s="159"/>
      <c r="O343" s="158">
        <v>100000</v>
      </c>
      <c r="P343" s="159">
        <v>25000</v>
      </c>
      <c r="Q343" s="165">
        <f t="shared" si="241"/>
        <v>100000</v>
      </c>
      <c r="R343" s="166">
        <f t="shared" si="241"/>
        <v>25000</v>
      </c>
      <c r="S343" s="156">
        <v>25000</v>
      </c>
      <c r="T343" s="160"/>
      <c r="U343" s="157">
        <f>S343</f>
        <v>25000</v>
      </c>
      <c r="V343" s="161">
        <v>100000</v>
      </c>
      <c r="W343" s="158">
        <v>0</v>
      </c>
      <c r="X343" s="160"/>
      <c r="Y343" s="160"/>
      <c r="Z343" s="160">
        <f>W343</f>
        <v>0</v>
      </c>
      <c r="AA343" s="160"/>
      <c r="AB343" s="159"/>
      <c r="AC343" s="158">
        <f t="shared" si="233"/>
        <v>100000</v>
      </c>
      <c r="AD343" s="160"/>
      <c r="AE343" s="160"/>
      <c r="AF343" s="157">
        <f>AC343</f>
        <v>100000</v>
      </c>
      <c r="AG343" s="157"/>
      <c r="AH343" s="159"/>
      <c r="AI343" s="35">
        <f t="shared" si="234"/>
        <v>0</v>
      </c>
      <c r="AJ343" s="11">
        <f t="shared" si="235"/>
        <v>0</v>
      </c>
      <c r="AK343" s="11">
        <f t="shared" si="236"/>
        <v>100000</v>
      </c>
      <c r="AL343" s="11">
        <f t="shared" si="237"/>
        <v>0</v>
      </c>
      <c r="AM343" s="76">
        <f t="shared" si="238"/>
        <v>0</v>
      </c>
      <c r="AN343" s="51">
        <f t="shared" si="239"/>
        <v>100000</v>
      </c>
      <c r="AO343" s="36"/>
      <c r="AP343" s="9"/>
      <c r="AQ343" s="9"/>
      <c r="AR343" s="9"/>
      <c r="AS343" s="9"/>
      <c r="AT343" s="9"/>
      <c r="AU343" s="9"/>
      <c r="AV343" s="9"/>
      <c r="AW343" s="10"/>
      <c r="AY343" s="11">
        <f t="shared" si="229"/>
        <v>0</v>
      </c>
    </row>
    <row r="344" spans="5:51" ht="60" customHeight="1" x14ac:dyDescent="0.2">
      <c r="E344" s="151">
        <f t="shared" si="231"/>
        <v>41008</v>
      </c>
      <c r="F344" s="170" t="s">
        <v>466</v>
      </c>
      <c r="G344" s="156"/>
      <c r="H344" s="157"/>
      <c r="I344" s="158"/>
      <c r="J344" s="159"/>
      <c r="K344" s="158"/>
      <c r="L344" s="159"/>
      <c r="M344" s="158"/>
      <c r="N344" s="159"/>
      <c r="O344" s="158">
        <v>200000</v>
      </c>
      <c r="P344" s="159"/>
      <c r="Q344" s="165"/>
      <c r="R344" s="166"/>
      <c r="S344" s="156"/>
      <c r="T344" s="160"/>
      <c r="U344" s="157"/>
      <c r="V344" s="161">
        <v>2405000</v>
      </c>
      <c r="W344" s="158">
        <v>0</v>
      </c>
      <c r="X344" s="160"/>
      <c r="Y344" s="160">
        <f>W344</f>
        <v>0</v>
      </c>
      <c r="Z344" s="160"/>
      <c r="AA344" s="160"/>
      <c r="AB344" s="159"/>
      <c r="AC344" s="158">
        <f t="shared" si="233"/>
        <v>2405000</v>
      </c>
      <c r="AD344" s="160"/>
      <c r="AE344" s="160"/>
      <c r="AF344" s="157"/>
      <c r="AG344" s="157">
        <f>AC344</f>
        <v>2405000</v>
      </c>
      <c r="AH344" s="159"/>
      <c r="AI344" s="35">
        <f t="shared" si="234"/>
        <v>0</v>
      </c>
      <c r="AJ344" s="11">
        <f t="shared" si="235"/>
        <v>0</v>
      </c>
      <c r="AK344" s="11">
        <f t="shared" si="236"/>
        <v>0</v>
      </c>
      <c r="AL344" s="11">
        <f t="shared" si="237"/>
        <v>2405000</v>
      </c>
      <c r="AM344" s="76">
        <f t="shared" si="238"/>
        <v>0</v>
      </c>
      <c r="AN344" s="51">
        <f t="shared" si="239"/>
        <v>2405000</v>
      </c>
      <c r="AO344" s="36"/>
      <c r="AP344" s="9"/>
      <c r="AQ344" s="9"/>
      <c r="AR344" s="9"/>
      <c r="AS344" s="9"/>
      <c r="AT344" s="9"/>
      <c r="AU344" s="9"/>
      <c r="AV344" s="9"/>
      <c r="AW344" s="10"/>
      <c r="AY344" s="11">
        <f t="shared" si="229"/>
        <v>0</v>
      </c>
    </row>
    <row r="345" spans="5:51" ht="60" customHeight="1" x14ac:dyDescent="0.2">
      <c r="E345" s="151">
        <f t="shared" si="231"/>
        <v>41009</v>
      </c>
      <c r="F345" s="170" t="s">
        <v>176</v>
      </c>
      <c r="G345" s="156"/>
      <c r="H345" s="157"/>
      <c r="I345" s="158"/>
      <c r="J345" s="159"/>
      <c r="K345" s="158">
        <v>75000</v>
      </c>
      <c r="L345" s="159">
        <v>75000</v>
      </c>
      <c r="M345" s="158">
        <v>75000</v>
      </c>
      <c r="N345" s="159">
        <v>37500</v>
      </c>
      <c r="O345" s="158">
        <v>75000</v>
      </c>
      <c r="P345" s="159">
        <v>18750</v>
      </c>
      <c r="Q345" s="165">
        <f t="shared" si="241"/>
        <v>0</v>
      </c>
      <c r="R345" s="166">
        <f t="shared" si="241"/>
        <v>-18750</v>
      </c>
      <c r="S345" s="156">
        <v>54000</v>
      </c>
      <c r="T345" s="160"/>
      <c r="U345" s="157">
        <f>S345</f>
        <v>54000</v>
      </c>
      <c r="V345" s="161">
        <v>75000</v>
      </c>
      <c r="W345" s="158">
        <v>75000</v>
      </c>
      <c r="X345" s="160"/>
      <c r="Y345" s="160"/>
      <c r="Z345" s="160">
        <f>W345</f>
        <v>75000</v>
      </c>
      <c r="AA345" s="160"/>
      <c r="AB345" s="159"/>
      <c r="AC345" s="158">
        <f t="shared" si="233"/>
        <v>0</v>
      </c>
      <c r="AD345" s="160"/>
      <c r="AE345" s="160"/>
      <c r="AF345" s="157"/>
      <c r="AG345" s="157"/>
      <c r="AH345" s="159">
        <f>V345-Z345</f>
        <v>0</v>
      </c>
      <c r="AI345" s="35">
        <f t="shared" si="234"/>
        <v>0</v>
      </c>
      <c r="AJ345" s="11">
        <f t="shared" si="235"/>
        <v>0</v>
      </c>
      <c r="AK345" s="11">
        <f t="shared" si="236"/>
        <v>75000</v>
      </c>
      <c r="AL345" s="11">
        <f t="shared" si="237"/>
        <v>0</v>
      </c>
      <c r="AM345" s="76">
        <f t="shared" si="238"/>
        <v>0</v>
      </c>
      <c r="AN345" s="51">
        <f t="shared" si="239"/>
        <v>75000</v>
      </c>
      <c r="AO345" s="36"/>
      <c r="AP345" s="9"/>
      <c r="AQ345" s="9"/>
      <c r="AR345" s="9"/>
      <c r="AS345" s="9"/>
      <c r="AT345" s="9"/>
      <c r="AU345" s="9"/>
      <c r="AV345" s="9">
        <f t="shared" si="240"/>
        <v>0</v>
      </c>
      <c r="AW345" s="10">
        <f>AP345-AQ345-AV345</f>
        <v>0</v>
      </c>
      <c r="AY345" s="11">
        <f t="shared" si="229"/>
        <v>0</v>
      </c>
    </row>
    <row r="346" spans="5:51" ht="60" customHeight="1" x14ac:dyDescent="0.2">
      <c r="E346" s="149"/>
      <c r="F346" s="127" t="s">
        <v>177</v>
      </c>
      <c r="G346" s="118">
        <f t="shared" ref="G346:AW346" si="242">SUM(G337:G345)</f>
        <v>3435000</v>
      </c>
      <c r="H346" s="116">
        <f t="shared" si="242"/>
        <v>3292077</v>
      </c>
      <c r="I346" s="115">
        <f t="shared" si="242"/>
        <v>3938365</v>
      </c>
      <c r="J346" s="117">
        <f t="shared" si="242"/>
        <v>3934365</v>
      </c>
      <c r="K346" s="115">
        <f t="shared" si="242"/>
        <v>4183000</v>
      </c>
      <c r="L346" s="117">
        <f t="shared" si="242"/>
        <v>3982186</v>
      </c>
      <c r="M346" s="115">
        <f t="shared" si="242"/>
        <v>4366000</v>
      </c>
      <c r="N346" s="117">
        <f t="shared" si="242"/>
        <v>4283247</v>
      </c>
      <c r="O346" s="115">
        <f t="shared" si="242"/>
        <v>7930000</v>
      </c>
      <c r="P346" s="117">
        <f t="shared" si="242"/>
        <v>6111337</v>
      </c>
      <c r="Q346" s="115">
        <f t="shared" si="242"/>
        <v>3364000</v>
      </c>
      <c r="R346" s="117">
        <f t="shared" si="242"/>
        <v>1828090</v>
      </c>
      <c r="S346" s="118">
        <f t="shared" si="242"/>
        <v>3045000</v>
      </c>
      <c r="T346" s="120">
        <f t="shared" si="242"/>
        <v>0</v>
      </c>
      <c r="U346" s="116">
        <f t="shared" si="242"/>
        <v>3045000</v>
      </c>
      <c r="V346" s="119">
        <f t="shared" si="242"/>
        <v>9900000</v>
      </c>
      <c r="W346" s="115">
        <f t="shared" si="242"/>
        <v>4325000</v>
      </c>
      <c r="X346" s="120">
        <f t="shared" si="242"/>
        <v>0</v>
      </c>
      <c r="Y346" s="120">
        <f t="shared" si="242"/>
        <v>0</v>
      </c>
      <c r="Z346" s="120">
        <f t="shared" si="242"/>
        <v>3975000</v>
      </c>
      <c r="AA346" s="120">
        <f t="shared" si="242"/>
        <v>350000</v>
      </c>
      <c r="AB346" s="117">
        <f t="shared" si="242"/>
        <v>0</v>
      </c>
      <c r="AC346" s="115">
        <f t="shared" si="242"/>
        <v>5575000</v>
      </c>
      <c r="AD346" s="120">
        <f t="shared" si="242"/>
        <v>0</v>
      </c>
      <c r="AE346" s="120">
        <f t="shared" si="242"/>
        <v>0</v>
      </c>
      <c r="AF346" s="116">
        <f t="shared" si="242"/>
        <v>3030000</v>
      </c>
      <c r="AG346" s="116">
        <f t="shared" si="242"/>
        <v>2545000</v>
      </c>
      <c r="AH346" s="117">
        <f t="shared" si="242"/>
        <v>0</v>
      </c>
      <c r="AI346" s="47">
        <f t="shared" si="242"/>
        <v>0</v>
      </c>
      <c r="AJ346" s="10">
        <f t="shared" si="242"/>
        <v>0</v>
      </c>
      <c r="AK346" s="10">
        <f t="shared" si="242"/>
        <v>7005000</v>
      </c>
      <c r="AL346" s="10">
        <f t="shared" si="242"/>
        <v>2895000</v>
      </c>
      <c r="AM346" s="48">
        <f t="shared" si="242"/>
        <v>0</v>
      </c>
      <c r="AN346" s="52">
        <f t="shared" si="242"/>
        <v>9900000</v>
      </c>
      <c r="AO346" s="39">
        <f t="shared" si="242"/>
        <v>0</v>
      </c>
      <c r="AP346" s="10">
        <f t="shared" si="242"/>
        <v>0</v>
      </c>
      <c r="AQ346" s="10">
        <f t="shared" si="242"/>
        <v>0</v>
      </c>
      <c r="AR346" s="10">
        <f t="shared" si="242"/>
        <v>0</v>
      </c>
      <c r="AS346" s="10">
        <f t="shared" si="242"/>
        <v>0</v>
      </c>
      <c r="AT346" s="10">
        <f t="shared" si="242"/>
        <v>0</v>
      </c>
      <c r="AU346" s="10">
        <f t="shared" si="242"/>
        <v>0</v>
      </c>
      <c r="AV346" s="10">
        <f t="shared" si="242"/>
        <v>0</v>
      </c>
      <c r="AW346" s="10">
        <f t="shared" si="242"/>
        <v>0</v>
      </c>
      <c r="AY346" s="11">
        <f t="shared" si="229"/>
        <v>0</v>
      </c>
    </row>
    <row r="347" spans="5:51" ht="60" customHeight="1" x14ac:dyDescent="0.2">
      <c r="E347" s="151">
        <v>41100</v>
      </c>
      <c r="F347" s="155" t="s">
        <v>178</v>
      </c>
      <c r="G347" s="118"/>
      <c r="H347" s="116"/>
      <c r="I347" s="115"/>
      <c r="J347" s="117"/>
      <c r="K347" s="115"/>
      <c r="L347" s="117"/>
      <c r="M347" s="115"/>
      <c r="N347" s="117"/>
      <c r="O347" s="115"/>
      <c r="P347" s="117"/>
      <c r="Q347" s="115"/>
      <c r="R347" s="117"/>
      <c r="S347" s="118"/>
      <c r="T347" s="120"/>
      <c r="U347" s="116"/>
      <c r="V347" s="119"/>
      <c r="W347" s="115"/>
      <c r="X347" s="120"/>
      <c r="Y347" s="120"/>
      <c r="Z347" s="120"/>
      <c r="AA347" s="120"/>
      <c r="AB347" s="117"/>
      <c r="AC347" s="115"/>
      <c r="AD347" s="120"/>
      <c r="AE347" s="120"/>
      <c r="AF347" s="116"/>
      <c r="AG347" s="116"/>
      <c r="AH347" s="117"/>
      <c r="AI347" s="47"/>
      <c r="AJ347" s="10"/>
      <c r="AK347" s="10"/>
      <c r="AL347" s="10"/>
      <c r="AM347" s="48"/>
      <c r="AN347" s="52"/>
      <c r="AO347" s="39"/>
      <c r="AP347" s="10"/>
      <c r="AQ347" s="10"/>
      <c r="AR347" s="10"/>
      <c r="AS347" s="10"/>
      <c r="AT347" s="10"/>
      <c r="AU347" s="10"/>
      <c r="AV347" s="9"/>
      <c r="AW347" s="10">
        <f>AP347-AQ347-AV347</f>
        <v>0</v>
      </c>
      <c r="AY347" s="11">
        <f t="shared" si="229"/>
        <v>0</v>
      </c>
    </row>
    <row r="348" spans="5:51" ht="60" customHeight="1" x14ac:dyDescent="0.2">
      <c r="E348" s="151">
        <f>E347+1</f>
        <v>41101</v>
      </c>
      <c r="F348" s="170" t="s">
        <v>283</v>
      </c>
      <c r="G348" s="156"/>
      <c r="H348" s="157"/>
      <c r="I348" s="158">
        <v>100000</v>
      </c>
      <c r="J348" s="159">
        <f>I348</f>
        <v>100000</v>
      </c>
      <c r="K348" s="158">
        <v>100000</v>
      </c>
      <c r="L348" s="159">
        <v>100000</v>
      </c>
      <c r="M348" s="158">
        <v>200000</v>
      </c>
      <c r="N348" s="159">
        <v>200000</v>
      </c>
      <c r="O348" s="158">
        <v>370000</v>
      </c>
      <c r="P348" s="159">
        <v>370000</v>
      </c>
      <c r="Q348" s="165">
        <f>O348-M348</f>
        <v>170000</v>
      </c>
      <c r="R348" s="166">
        <f>P348-N348</f>
        <v>170000</v>
      </c>
      <c r="S348" s="156">
        <v>170000</v>
      </c>
      <c r="T348" s="120"/>
      <c r="U348" s="164">
        <f>S348</f>
        <v>170000</v>
      </c>
      <c r="V348" s="161">
        <v>2192000</v>
      </c>
      <c r="W348" s="158">
        <v>200000</v>
      </c>
      <c r="X348" s="160"/>
      <c r="Y348" s="160"/>
      <c r="Z348" s="160"/>
      <c r="AA348" s="160">
        <f>W348</f>
        <v>200000</v>
      </c>
      <c r="AB348" s="159"/>
      <c r="AC348" s="158">
        <f>V348-W348</f>
        <v>1992000</v>
      </c>
      <c r="AD348" s="160"/>
      <c r="AE348" s="160"/>
      <c r="AF348" s="157"/>
      <c r="AG348" s="157"/>
      <c r="AH348" s="159">
        <f>AC348</f>
        <v>1992000</v>
      </c>
      <c r="AI348" s="35">
        <f t="shared" ref="AI348:AM349" si="243">AD348+X348</f>
        <v>0</v>
      </c>
      <c r="AJ348" s="11">
        <f t="shared" si="243"/>
        <v>0</v>
      </c>
      <c r="AK348" s="11">
        <f t="shared" si="243"/>
        <v>0</v>
      </c>
      <c r="AL348" s="11">
        <f t="shared" si="243"/>
        <v>200000</v>
      </c>
      <c r="AM348" s="76">
        <f t="shared" si="243"/>
        <v>1992000</v>
      </c>
      <c r="AN348" s="51">
        <f>SUM(AJ348:AM348)</f>
        <v>2192000</v>
      </c>
      <c r="AO348" s="36"/>
      <c r="AP348" s="9"/>
      <c r="AQ348" s="9"/>
      <c r="AR348" s="9"/>
      <c r="AS348" s="9"/>
      <c r="AT348" s="9"/>
      <c r="AU348" s="9"/>
      <c r="AV348" s="9">
        <f>AU348+AT348+AS348+AR348</f>
        <v>0</v>
      </c>
      <c r="AW348" s="10"/>
      <c r="AY348" s="11">
        <f t="shared" si="229"/>
        <v>0</v>
      </c>
    </row>
    <row r="349" spans="5:51" ht="60" customHeight="1" x14ac:dyDescent="0.2">
      <c r="E349" s="151">
        <f>E348+1</f>
        <v>41102</v>
      </c>
      <c r="F349" s="170" t="s">
        <v>416</v>
      </c>
      <c r="G349" s="156"/>
      <c r="H349" s="157"/>
      <c r="I349" s="158"/>
      <c r="J349" s="159"/>
      <c r="K349" s="158"/>
      <c r="L349" s="159"/>
      <c r="M349" s="158"/>
      <c r="N349" s="159"/>
      <c r="O349" s="158">
        <v>383000</v>
      </c>
      <c r="P349" s="159"/>
      <c r="Q349" s="165">
        <f>O349-M349</f>
        <v>383000</v>
      </c>
      <c r="R349" s="166">
        <f>P349-N349</f>
        <v>0</v>
      </c>
      <c r="S349" s="156"/>
      <c r="T349" s="120"/>
      <c r="U349" s="164"/>
      <c r="V349" s="161">
        <v>100000</v>
      </c>
      <c r="W349" s="158">
        <v>100000</v>
      </c>
      <c r="X349" s="160"/>
      <c r="Y349" s="160"/>
      <c r="Z349" s="160"/>
      <c r="AA349" s="160"/>
      <c r="AB349" s="159">
        <f>W349</f>
        <v>100000</v>
      </c>
      <c r="AC349" s="158">
        <f>V349-W349</f>
        <v>0</v>
      </c>
      <c r="AD349" s="160"/>
      <c r="AE349" s="160"/>
      <c r="AF349" s="157"/>
      <c r="AG349" s="157"/>
      <c r="AH349" s="159"/>
      <c r="AI349" s="35">
        <f t="shared" si="243"/>
        <v>0</v>
      </c>
      <c r="AJ349" s="11">
        <f t="shared" si="243"/>
        <v>0</v>
      </c>
      <c r="AK349" s="11">
        <f t="shared" si="243"/>
        <v>0</v>
      </c>
      <c r="AL349" s="11">
        <f t="shared" si="243"/>
        <v>0</v>
      </c>
      <c r="AM349" s="76">
        <f t="shared" si="243"/>
        <v>100000</v>
      </c>
      <c r="AN349" s="51">
        <f>SUM(AJ349:AM349)</f>
        <v>100000</v>
      </c>
      <c r="AO349" s="36"/>
      <c r="AP349" s="9"/>
      <c r="AQ349" s="9"/>
      <c r="AR349" s="9"/>
      <c r="AS349" s="9"/>
      <c r="AT349" s="9"/>
      <c r="AU349" s="9"/>
      <c r="AV349" s="9"/>
      <c r="AW349" s="10"/>
      <c r="AY349" s="11">
        <f t="shared" si="229"/>
        <v>0</v>
      </c>
    </row>
    <row r="350" spans="5:51" ht="60" customHeight="1" x14ac:dyDescent="0.2">
      <c r="E350" s="151"/>
      <c r="F350" s="127" t="s">
        <v>179</v>
      </c>
      <c r="G350" s="118">
        <f t="shared" ref="G350:AW350" si="244">SUM(G348:G349)</f>
        <v>0</v>
      </c>
      <c r="H350" s="116">
        <f t="shared" si="244"/>
        <v>0</v>
      </c>
      <c r="I350" s="115">
        <f t="shared" si="244"/>
        <v>100000</v>
      </c>
      <c r="J350" s="117">
        <f t="shared" si="244"/>
        <v>100000</v>
      </c>
      <c r="K350" s="115">
        <f t="shared" si="244"/>
        <v>100000</v>
      </c>
      <c r="L350" s="117">
        <f t="shared" si="244"/>
        <v>100000</v>
      </c>
      <c r="M350" s="115">
        <f t="shared" si="244"/>
        <v>200000</v>
      </c>
      <c r="N350" s="117">
        <f t="shared" si="244"/>
        <v>200000</v>
      </c>
      <c r="O350" s="115">
        <f t="shared" si="244"/>
        <v>753000</v>
      </c>
      <c r="P350" s="117">
        <f t="shared" si="244"/>
        <v>370000</v>
      </c>
      <c r="Q350" s="115">
        <f t="shared" si="244"/>
        <v>553000</v>
      </c>
      <c r="R350" s="117">
        <f t="shared" si="244"/>
        <v>170000</v>
      </c>
      <c r="S350" s="118">
        <f t="shared" si="244"/>
        <v>170000</v>
      </c>
      <c r="T350" s="120">
        <f t="shared" si="244"/>
        <v>0</v>
      </c>
      <c r="U350" s="116">
        <f t="shared" si="244"/>
        <v>170000</v>
      </c>
      <c r="V350" s="119">
        <f t="shared" si="244"/>
        <v>2292000</v>
      </c>
      <c r="W350" s="115">
        <f t="shared" ref="W350:AM350" si="245">SUM(W348:W349)</f>
        <v>300000</v>
      </c>
      <c r="X350" s="120">
        <f t="shared" si="245"/>
        <v>0</v>
      </c>
      <c r="Y350" s="120">
        <f t="shared" si="245"/>
        <v>0</v>
      </c>
      <c r="Z350" s="120">
        <f t="shared" si="245"/>
        <v>0</v>
      </c>
      <c r="AA350" s="120">
        <f t="shared" si="245"/>
        <v>200000</v>
      </c>
      <c r="AB350" s="117">
        <f t="shared" si="245"/>
        <v>100000</v>
      </c>
      <c r="AC350" s="115">
        <f t="shared" si="245"/>
        <v>1992000</v>
      </c>
      <c r="AD350" s="120">
        <f t="shared" si="245"/>
        <v>0</v>
      </c>
      <c r="AE350" s="120">
        <f t="shared" si="245"/>
        <v>0</v>
      </c>
      <c r="AF350" s="116">
        <f t="shared" si="245"/>
        <v>0</v>
      </c>
      <c r="AG350" s="116">
        <f t="shared" si="245"/>
        <v>0</v>
      </c>
      <c r="AH350" s="117">
        <f t="shared" si="245"/>
        <v>1992000</v>
      </c>
      <c r="AI350" s="47">
        <f t="shared" si="245"/>
        <v>0</v>
      </c>
      <c r="AJ350" s="10">
        <f t="shared" si="245"/>
        <v>0</v>
      </c>
      <c r="AK350" s="10">
        <f t="shared" si="245"/>
        <v>0</v>
      </c>
      <c r="AL350" s="10">
        <f t="shared" si="245"/>
        <v>200000</v>
      </c>
      <c r="AM350" s="48">
        <f t="shared" si="245"/>
        <v>2092000</v>
      </c>
      <c r="AN350" s="52">
        <f t="shared" si="244"/>
        <v>2292000</v>
      </c>
      <c r="AO350" s="39">
        <f t="shared" si="244"/>
        <v>0</v>
      </c>
      <c r="AP350" s="10">
        <f t="shared" si="244"/>
        <v>0</v>
      </c>
      <c r="AQ350" s="10">
        <f t="shared" si="244"/>
        <v>0</v>
      </c>
      <c r="AR350" s="10">
        <f t="shared" si="244"/>
        <v>0</v>
      </c>
      <c r="AS350" s="10">
        <f t="shared" si="244"/>
        <v>0</v>
      </c>
      <c r="AT350" s="10">
        <f t="shared" si="244"/>
        <v>0</v>
      </c>
      <c r="AU350" s="10">
        <f t="shared" si="244"/>
        <v>0</v>
      </c>
      <c r="AV350" s="10">
        <f t="shared" si="244"/>
        <v>0</v>
      </c>
      <c r="AW350" s="10">
        <f t="shared" si="244"/>
        <v>0</v>
      </c>
      <c r="AY350" s="11">
        <f t="shared" si="229"/>
        <v>0</v>
      </c>
    </row>
    <row r="351" spans="5:51" ht="60" customHeight="1" x14ac:dyDescent="0.2">
      <c r="E351" s="149"/>
      <c r="F351" s="127" t="s">
        <v>180</v>
      </c>
      <c r="G351" s="118">
        <f t="shared" ref="G351:AW351" si="246">G350+G346+G335+G298+G286+G282+G278+G256</f>
        <v>43746000</v>
      </c>
      <c r="H351" s="116">
        <f t="shared" si="246"/>
        <v>43595108</v>
      </c>
      <c r="I351" s="115">
        <f t="shared" si="246"/>
        <v>48279365</v>
      </c>
      <c r="J351" s="117">
        <f t="shared" si="246"/>
        <v>48002865</v>
      </c>
      <c r="K351" s="115">
        <f t="shared" si="246"/>
        <v>73380000</v>
      </c>
      <c r="L351" s="117">
        <f t="shared" si="246"/>
        <v>71009631</v>
      </c>
      <c r="M351" s="115">
        <f t="shared" si="246"/>
        <v>151641323</v>
      </c>
      <c r="N351" s="117">
        <f t="shared" si="246"/>
        <v>148403182</v>
      </c>
      <c r="O351" s="115">
        <f t="shared" si="246"/>
        <v>188895000</v>
      </c>
      <c r="P351" s="117">
        <f t="shared" si="246"/>
        <v>152630137</v>
      </c>
      <c r="Q351" s="115">
        <f t="shared" si="246"/>
        <v>37053677</v>
      </c>
      <c r="R351" s="117">
        <f t="shared" si="246"/>
        <v>4226955</v>
      </c>
      <c r="S351" s="118">
        <f t="shared" si="246"/>
        <v>58739000</v>
      </c>
      <c r="T351" s="120">
        <f t="shared" si="246"/>
        <v>5050000</v>
      </c>
      <c r="U351" s="116">
        <f t="shared" si="246"/>
        <v>53689000</v>
      </c>
      <c r="V351" s="119">
        <f t="shared" si="246"/>
        <v>161917000</v>
      </c>
      <c r="W351" s="115">
        <f t="shared" ref="W351:AM351" si="247">W350+W346+W335+W298+W286+W282+W278+W256</f>
        <v>68082000</v>
      </c>
      <c r="X351" s="120">
        <f t="shared" si="247"/>
        <v>10000000</v>
      </c>
      <c r="Y351" s="120">
        <f t="shared" si="247"/>
        <v>18500000</v>
      </c>
      <c r="Z351" s="120">
        <f t="shared" si="247"/>
        <v>23975000</v>
      </c>
      <c r="AA351" s="120">
        <f t="shared" si="247"/>
        <v>15507000</v>
      </c>
      <c r="AB351" s="117">
        <f t="shared" si="247"/>
        <v>100000</v>
      </c>
      <c r="AC351" s="115">
        <f t="shared" si="247"/>
        <v>93835000</v>
      </c>
      <c r="AD351" s="120">
        <f t="shared" si="247"/>
        <v>0</v>
      </c>
      <c r="AE351" s="120">
        <f t="shared" si="247"/>
        <v>35303000</v>
      </c>
      <c r="AF351" s="116">
        <f t="shared" si="247"/>
        <v>33882000</v>
      </c>
      <c r="AG351" s="116">
        <f t="shared" si="247"/>
        <v>22658000</v>
      </c>
      <c r="AH351" s="117">
        <f t="shared" si="247"/>
        <v>1992000</v>
      </c>
      <c r="AI351" s="47">
        <f t="shared" si="247"/>
        <v>10000000</v>
      </c>
      <c r="AJ351" s="10">
        <f t="shared" si="247"/>
        <v>53803000</v>
      </c>
      <c r="AK351" s="10">
        <f t="shared" si="247"/>
        <v>57857000</v>
      </c>
      <c r="AL351" s="10">
        <f t="shared" si="247"/>
        <v>38165000</v>
      </c>
      <c r="AM351" s="48">
        <f t="shared" si="247"/>
        <v>2092000</v>
      </c>
      <c r="AN351" s="52">
        <f t="shared" si="246"/>
        <v>151917000</v>
      </c>
      <c r="AO351" s="39">
        <f t="shared" si="246"/>
        <v>0</v>
      </c>
      <c r="AP351" s="10">
        <f t="shared" si="246"/>
        <v>0</v>
      </c>
      <c r="AQ351" s="10">
        <f t="shared" si="246"/>
        <v>0</v>
      </c>
      <c r="AR351" s="10">
        <f t="shared" si="246"/>
        <v>0</v>
      </c>
      <c r="AS351" s="10">
        <f t="shared" si="246"/>
        <v>0</v>
      </c>
      <c r="AT351" s="10">
        <f t="shared" si="246"/>
        <v>0</v>
      </c>
      <c r="AU351" s="10">
        <f t="shared" si="246"/>
        <v>0</v>
      </c>
      <c r="AV351" s="10">
        <f t="shared" si="246"/>
        <v>0</v>
      </c>
      <c r="AW351" s="10">
        <f t="shared" si="246"/>
        <v>0</v>
      </c>
      <c r="AY351" s="11">
        <f t="shared" si="229"/>
        <v>0</v>
      </c>
    </row>
    <row r="352" spans="5:51" ht="60" customHeight="1" x14ac:dyDescent="0.2">
      <c r="E352" s="151">
        <v>41200</v>
      </c>
      <c r="F352" s="155" t="s">
        <v>181</v>
      </c>
      <c r="G352" s="173"/>
      <c r="H352" s="174"/>
      <c r="I352" s="175"/>
      <c r="J352" s="176"/>
      <c r="K352" s="175"/>
      <c r="L352" s="176"/>
      <c r="M352" s="175"/>
      <c r="N352" s="176"/>
      <c r="O352" s="175"/>
      <c r="P352" s="176"/>
      <c r="Q352" s="175"/>
      <c r="R352" s="176"/>
      <c r="S352" s="156"/>
      <c r="T352" s="160"/>
      <c r="U352" s="157"/>
      <c r="V352" s="161"/>
      <c r="W352" s="158"/>
      <c r="X352" s="160"/>
      <c r="Y352" s="160"/>
      <c r="Z352" s="160"/>
      <c r="AA352" s="160"/>
      <c r="AB352" s="159"/>
      <c r="AC352" s="158"/>
      <c r="AD352" s="160"/>
      <c r="AE352" s="160"/>
      <c r="AF352" s="157"/>
      <c r="AG352" s="157"/>
      <c r="AH352" s="159"/>
      <c r="AI352" s="45"/>
      <c r="AJ352" s="9"/>
      <c r="AK352" s="9"/>
      <c r="AL352" s="9"/>
      <c r="AM352" s="46"/>
      <c r="AN352" s="50"/>
      <c r="AO352" s="36"/>
      <c r="AP352" s="9"/>
      <c r="AQ352" s="9"/>
      <c r="AR352" s="9"/>
      <c r="AS352" s="9"/>
      <c r="AT352" s="9"/>
      <c r="AU352" s="9"/>
      <c r="AV352" s="9"/>
      <c r="AW352" s="10">
        <f>AP352-AQ352-AV352</f>
        <v>0</v>
      </c>
      <c r="AY352" s="11">
        <f t="shared" si="229"/>
        <v>0</v>
      </c>
    </row>
    <row r="353" spans="5:51" ht="60" customHeight="1" x14ac:dyDescent="0.2">
      <c r="E353" s="151">
        <f t="shared" ref="E353:E365" si="248">+E352+1</f>
        <v>41201</v>
      </c>
      <c r="F353" s="170" t="s">
        <v>182</v>
      </c>
      <c r="G353" s="156">
        <v>140000</v>
      </c>
      <c r="H353" s="157">
        <f>G353</f>
        <v>140000</v>
      </c>
      <c r="I353" s="158">
        <v>140000</v>
      </c>
      <c r="J353" s="159">
        <f>I353</f>
        <v>140000</v>
      </c>
      <c r="K353" s="158">
        <v>140000</v>
      </c>
      <c r="L353" s="159">
        <v>140000</v>
      </c>
      <c r="M353" s="158">
        <v>140000</v>
      </c>
      <c r="N353" s="159">
        <v>140000</v>
      </c>
      <c r="O353" s="158">
        <v>200000</v>
      </c>
      <c r="P353" s="159">
        <v>200000</v>
      </c>
      <c r="Q353" s="165">
        <f>O353-M353</f>
        <v>60000</v>
      </c>
      <c r="R353" s="166">
        <f>P353-N353</f>
        <v>60000</v>
      </c>
      <c r="S353" s="156">
        <v>111000</v>
      </c>
      <c r="T353" s="160"/>
      <c r="U353" s="157">
        <f>S353</f>
        <v>111000</v>
      </c>
      <c r="V353" s="161">
        <v>200000</v>
      </c>
      <c r="W353" s="158">
        <v>200000</v>
      </c>
      <c r="X353" s="160"/>
      <c r="Y353" s="160"/>
      <c r="Z353" s="160">
        <f>W353</f>
        <v>200000</v>
      </c>
      <c r="AA353" s="160"/>
      <c r="AB353" s="159"/>
      <c r="AC353" s="158">
        <f t="shared" ref="AC353:AC364" si="249">V353-W353</f>
        <v>0</v>
      </c>
      <c r="AD353" s="160"/>
      <c r="AE353" s="160"/>
      <c r="AF353" s="157"/>
      <c r="AG353" s="157"/>
      <c r="AH353" s="159"/>
      <c r="AI353" s="35">
        <f t="shared" ref="AI353:AI365" si="250">AD353+X353</f>
        <v>0</v>
      </c>
      <c r="AJ353" s="11">
        <f t="shared" ref="AJ353:AJ365" si="251">AE353+Y353</f>
        <v>0</v>
      </c>
      <c r="AK353" s="11">
        <f t="shared" ref="AK353:AK365" si="252">AF353+Z353</f>
        <v>200000</v>
      </c>
      <c r="AL353" s="11">
        <f t="shared" ref="AL353:AL365" si="253">AG353+AA353</f>
        <v>0</v>
      </c>
      <c r="AM353" s="76">
        <f t="shared" ref="AM353:AM365" si="254">AH353+AB353</f>
        <v>0</v>
      </c>
      <c r="AN353" s="51">
        <f t="shared" ref="AN353:AN365" si="255">SUM(AJ353:AM353)</f>
        <v>200000</v>
      </c>
      <c r="AO353" s="36"/>
      <c r="AP353" s="9"/>
      <c r="AQ353" s="9"/>
      <c r="AR353" s="9"/>
      <c r="AS353" s="9"/>
      <c r="AT353" s="9"/>
      <c r="AU353" s="9"/>
      <c r="AV353" s="9">
        <f>AU353+AT353+AS353+AR353</f>
        <v>0</v>
      </c>
      <c r="AW353" s="10">
        <f>AP353-AQ353-AV353</f>
        <v>0</v>
      </c>
      <c r="AY353" s="11">
        <f t="shared" si="229"/>
        <v>0</v>
      </c>
    </row>
    <row r="354" spans="5:51" ht="60" customHeight="1" x14ac:dyDescent="0.2">
      <c r="E354" s="151">
        <f t="shared" si="248"/>
        <v>41202</v>
      </c>
      <c r="F354" s="170" t="s">
        <v>299</v>
      </c>
      <c r="G354" s="156"/>
      <c r="H354" s="157"/>
      <c r="I354" s="158"/>
      <c r="J354" s="159"/>
      <c r="K354" s="158"/>
      <c r="L354" s="159"/>
      <c r="M354" s="158"/>
      <c r="N354" s="159"/>
      <c r="O354" s="158">
        <v>300000</v>
      </c>
      <c r="P354" s="159"/>
      <c r="Q354" s="165">
        <f t="shared" ref="Q354:R359" si="256">O354-M354</f>
        <v>300000</v>
      </c>
      <c r="R354" s="166">
        <f t="shared" si="256"/>
        <v>0</v>
      </c>
      <c r="S354" s="156"/>
      <c r="T354" s="160"/>
      <c r="U354" s="157"/>
      <c r="V354" s="161">
        <v>300000</v>
      </c>
      <c r="W354" s="158">
        <v>0</v>
      </c>
      <c r="X354" s="160"/>
      <c r="Y354" s="160"/>
      <c r="Z354" s="160">
        <f>W354</f>
        <v>0</v>
      </c>
      <c r="AA354" s="160"/>
      <c r="AB354" s="159"/>
      <c r="AC354" s="158">
        <f t="shared" si="249"/>
        <v>300000</v>
      </c>
      <c r="AD354" s="160"/>
      <c r="AE354" s="160"/>
      <c r="AF354" s="157">
        <f>AC354</f>
        <v>300000</v>
      </c>
      <c r="AG354" s="157"/>
      <c r="AH354" s="159"/>
      <c r="AI354" s="35">
        <f t="shared" si="250"/>
        <v>0</v>
      </c>
      <c r="AJ354" s="11">
        <f t="shared" si="251"/>
        <v>0</v>
      </c>
      <c r="AK354" s="11">
        <f t="shared" si="252"/>
        <v>300000</v>
      </c>
      <c r="AL354" s="11">
        <f t="shared" si="253"/>
        <v>0</v>
      </c>
      <c r="AM354" s="76">
        <f t="shared" si="254"/>
        <v>0</v>
      </c>
      <c r="AN354" s="51">
        <f t="shared" si="255"/>
        <v>300000</v>
      </c>
      <c r="AO354" s="36"/>
      <c r="AP354" s="9"/>
      <c r="AQ354" s="9"/>
      <c r="AR354" s="9"/>
      <c r="AS354" s="9"/>
      <c r="AT354" s="9"/>
      <c r="AU354" s="9"/>
      <c r="AV354" s="9">
        <f>AU354+AT354+AS354+AR354</f>
        <v>0</v>
      </c>
      <c r="AW354" s="10"/>
      <c r="AY354" s="11">
        <f t="shared" si="229"/>
        <v>0</v>
      </c>
    </row>
    <row r="355" spans="5:51" ht="60" customHeight="1" x14ac:dyDescent="0.2">
      <c r="E355" s="151">
        <f t="shared" si="248"/>
        <v>41203</v>
      </c>
      <c r="F355" s="170" t="s">
        <v>183</v>
      </c>
      <c r="G355" s="156">
        <v>200000</v>
      </c>
      <c r="H355" s="157">
        <f>G355</f>
        <v>200000</v>
      </c>
      <c r="I355" s="158">
        <v>100000</v>
      </c>
      <c r="J355" s="159">
        <f>I355</f>
        <v>100000</v>
      </c>
      <c r="K355" s="158">
        <v>100000</v>
      </c>
      <c r="L355" s="159">
        <v>100000</v>
      </c>
      <c r="M355" s="158">
        <v>100000</v>
      </c>
      <c r="N355" s="159">
        <v>100000</v>
      </c>
      <c r="O355" s="158">
        <v>160000</v>
      </c>
      <c r="P355" s="159">
        <v>160000</v>
      </c>
      <c r="Q355" s="165">
        <f t="shared" si="256"/>
        <v>60000</v>
      </c>
      <c r="R355" s="166">
        <f t="shared" si="256"/>
        <v>60000</v>
      </c>
      <c r="S355" s="156"/>
      <c r="T355" s="160"/>
      <c r="U355" s="157"/>
      <c r="V355" s="161">
        <v>230000</v>
      </c>
      <c r="W355" s="158">
        <v>230000</v>
      </c>
      <c r="X355" s="160"/>
      <c r="Y355" s="160"/>
      <c r="Z355" s="160"/>
      <c r="AA355" s="160">
        <f>W355</f>
        <v>230000</v>
      </c>
      <c r="AB355" s="159"/>
      <c r="AC355" s="158">
        <f t="shared" si="249"/>
        <v>0</v>
      </c>
      <c r="AD355" s="160"/>
      <c r="AE355" s="160"/>
      <c r="AF355" s="157"/>
      <c r="AG355" s="157"/>
      <c r="AH355" s="159"/>
      <c r="AI355" s="35">
        <f t="shared" si="250"/>
        <v>0</v>
      </c>
      <c r="AJ355" s="11">
        <f t="shared" si="251"/>
        <v>0</v>
      </c>
      <c r="AK355" s="11">
        <f t="shared" si="252"/>
        <v>0</v>
      </c>
      <c r="AL355" s="11">
        <f t="shared" si="253"/>
        <v>230000</v>
      </c>
      <c r="AM355" s="76">
        <f t="shared" si="254"/>
        <v>0</v>
      </c>
      <c r="AN355" s="51">
        <f t="shared" si="255"/>
        <v>230000</v>
      </c>
      <c r="AO355" s="36"/>
      <c r="AP355" s="9"/>
      <c r="AQ355" s="9"/>
      <c r="AR355" s="9"/>
      <c r="AS355" s="9"/>
      <c r="AT355" s="9"/>
      <c r="AU355" s="9"/>
      <c r="AV355" s="9">
        <f>AU355+AT355+AS355+AR355</f>
        <v>0</v>
      </c>
      <c r="AW355" s="10">
        <f>AP355-AQ355-AV355</f>
        <v>0</v>
      </c>
      <c r="AY355" s="11">
        <f t="shared" si="229"/>
        <v>0</v>
      </c>
    </row>
    <row r="356" spans="5:51" ht="60" customHeight="1" x14ac:dyDescent="0.2">
      <c r="E356" s="151">
        <f t="shared" si="248"/>
        <v>41204</v>
      </c>
      <c r="F356" s="170" t="s">
        <v>184</v>
      </c>
      <c r="G356" s="156">
        <v>1450000</v>
      </c>
      <c r="H356" s="157">
        <f>800000+650000</f>
        <v>1450000</v>
      </c>
      <c r="I356" s="158">
        <v>2250000</v>
      </c>
      <c r="J356" s="159">
        <v>2250000</v>
      </c>
      <c r="K356" s="158">
        <f>1250000+100000</f>
        <v>1350000</v>
      </c>
      <c r="L356" s="159">
        <v>1350000</v>
      </c>
      <c r="M356" s="158">
        <v>1500000</v>
      </c>
      <c r="N356" s="159">
        <v>1500000</v>
      </c>
      <c r="O356" s="158">
        <v>2420000</v>
      </c>
      <c r="P356" s="159">
        <v>2421000</v>
      </c>
      <c r="Q356" s="165">
        <f t="shared" si="256"/>
        <v>920000</v>
      </c>
      <c r="R356" s="166">
        <f t="shared" si="256"/>
        <v>921000</v>
      </c>
      <c r="S356" s="156">
        <v>98000</v>
      </c>
      <c r="T356" s="160"/>
      <c r="U356" s="157">
        <f>S356</f>
        <v>98000</v>
      </c>
      <c r="V356" s="161">
        <v>2250000</v>
      </c>
      <c r="W356" s="158">
        <v>2250000</v>
      </c>
      <c r="X356" s="160"/>
      <c r="Y356" s="160"/>
      <c r="Z356" s="160"/>
      <c r="AA356" s="160">
        <f>W356/2</f>
        <v>1125000</v>
      </c>
      <c r="AB356" s="159">
        <f>W356-AA356</f>
        <v>1125000</v>
      </c>
      <c r="AC356" s="158">
        <f t="shared" si="249"/>
        <v>0</v>
      </c>
      <c r="AD356" s="160"/>
      <c r="AE356" s="160">
        <f>AC356/2</f>
        <v>0</v>
      </c>
      <c r="AF356" s="157"/>
      <c r="AG356" s="157"/>
      <c r="AH356" s="159">
        <f>AC356/2</f>
        <v>0</v>
      </c>
      <c r="AI356" s="35">
        <f t="shared" si="250"/>
        <v>0</v>
      </c>
      <c r="AJ356" s="11">
        <f t="shared" si="251"/>
        <v>0</v>
      </c>
      <c r="AK356" s="11">
        <f t="shared" si="252"/>
        <v>0</v>
      </c>
      <c r="AL356" s="11">
        <f t="shared" si="253"/>
        <v>1125000</v>
      </c>
      <c r="AM356" s="76">
        <f t="shared" si="254"/>
        <v>1125000</v>
      </c>
      <c r="AN356" s="51">
        <f t="shared" si="255"/>
        <v>2250000</v>
      </c>
      <c r="AO356" s="36"/>
      <c r="AP356" s="9"/>
      <c r="AQ356" s="9"/>
      <c r="AR356" s="9"/>
      <c r="AS356" s="9"/>
      <c r="AT356" s="9"/>
      <c r="AU356" s="9"/>
      <c r="AV356" s="9">
        <f>AU356+AT356+AS356+AR356</f>
        <v>0</v>
      </c>
      <c r="AW356" s="10">
        <f>AP356-AQ356-AV356</f>
        <v>0</v>
      </c>
      <c r="AY356" s="11">
        <f t="shared" si="229"/>
        <v>0</v>
      </c>
    </row>
    <row r="357" spans="5:51" ht="60" customHeight="1" x14ac:dyDescent="0.2">
      <c r="E357" s="151">
        <f t="shared" si="248"/>
        <v>41205</v>
      </c>
      <c r="F357" s="170" t="s">
        <v>467</v>
      </c>
      <c r="G357" s="156"/>
      <c r="H357" s="157"/>
      <c r="I357" s="158"/>
      <c r="J357" s="159"/>
      <c r="K357" s="158"/>
      <c r="L357" s="159"/>
      <c r="M357" s="158"/>
      <c r="N357" s="159"/>
      <c r="O357" s="158"/>
      <c r="P357" s="159"/>
      <c r="Q357" s="165"/>
      <c r="R357" s="166"/>
      <c r="S357" s="156"/>
      <c r="T357" s="160"/>
      <c r="U357" s="157"/>
      <c r="V357" s="161">
        <v>200000</v>
      </c>
      <c r="W357" s="158">
        <v>200000</v>
      </c>
      <c r="X357" s="160"/>
      <c r="Y357" s="160"/>
      <c r="Z357" s="160"/>
      <c r="AA357" s="160">
        <f>W357</f>
        <v>200000</v>
      </c>
      <c r="AB357" s="159"/>
      <c r="AC357" s="158">
        <f t="shared" si="249"/>
        <v>0</v>
      </c>
      <c r="AD357" s="160"/>
      <c r="AE357" s="160"/>
      <c r="AF357" s="157"/>
      <c r="AG357" s="157"/>
      <c r="AH357" s="159"/>
      <c r="AI357" s="35">
        <f t="shared" si="250"/>
        <v>0</v>
      </c>
      <c r="AJ357" s="11">
        <f t="shared" si="251"/>
        <v>0</v>
      </c>
      <c r="AK357" s="11">
        <f t="shared" si="252"/>
        <v>0</v>
      </c>
      <c r="AL357" s="11">
        <f t="shared" si="253"/>
        <v>200000</v>
      </c>
      <c r="AM357" s="76">
        <f t="shared" si="254"/>
        <v>0</v>
      </c>
      <c r="AN357" s="51">
        <f t="shared" si="255"/>
        <v>200000</v>
      </c>
      <c r="AO357" s="36"/>
      <c r="AP357" s="9"/>
      <c r="AQ357" s="9"/>
      <c r="AR357" s="9"/>
      <c r="AS357" s="9"/>
      <c r="AT357" s="9"/>
      <c r="AU357" s="9"/>
      <c r="AV357" s="9"/>
      <c r="AW357" s="10"/>
      <c r="AY357" s="11">
        <f t="shared" si="229"/>
        <v>0</v>
      </c>
    </row>
    <row r="358" spans="5:51" ht="60" customHeight="1" x14ac:dyDescent="0.2">
      <c r="E358" s="151">
        <f t="shared" si="248"/>
        <v>41206</v>
      </c>
      <c r="F358" s="170" t="s">
        <v>185</v>
      </c>
      <c r="G358" s="156">
        <v>590000</v>
      </c>
      <c r="H358" s="157">
        <v>588444</v>
      </c>
      <c r="I358" s="158">
        <v>300000</v>
      </c>
      <c r="J358" s="159">
        <v>250000</v>
      </c>
      <c r="K358" s="158">
        <v>740000</v>
      </c>
      <c r="L358" s="159">
        <f>284000+50000+20000+70000+170000+140000</f>
        <v>734000</v>
      </c>
      <c r="M358" s="158">
        <v>580000</v>
      </c>
      <c r="N358" s="159">
        <f>50000+119028+160000+250000</f>
        <v>579028</v>
      </c>
      <c r="O358" s="158">
        <v>1762000</v>
      </c>
      <c r="P358" s="159">
        <f>937800+97000+385000</f>
        <v>1419800</v>
      </c>
      <c r="Q358" s="165">
        <f t="shared" si="256"/>
        <v>1182000</v>
      </c>
      <c r="R358" s="166">
        <f t="shared" si="256"/>
        <v>840772</v>
      </c>
      <c r="S358" s="156">
        <v>769000</v>
      </c>
      <c r="T358" s="160">
        <f>S358-U358</f>
        <v>506000</v>
      </c>
      <c r="U358" s="164">
        <v>263000</v>
      </c>
      <c r="V358" s="161">
        <f>450000+130000</f>
        <v>580000</v>
      </c>
      <c r="W358" s="158">
        <v>580000</v>
      </c>
      <c r="X358" s="160">
        <v>450000</v>
      </c>
      <c r="Y358" s="160"/>
      <c r="Z358" s="160"/>
      <c r="AA358" s="160">
        <f>W358-X358</f>
        <v>130000</v>
      </c>
      <c r="AB358" s="159"/>
      <c r="AC358" s="158">
        <f t="shared" si="249"/>
        <v>0</v>
      </c>
      <c r="AD358" s="160"/>
      <c r="AE358" s="160"/>
      <c r="AF358" s="157"/>
      <c r="AG358" s="157"/>
      <c r="AH358" s="159"/>
      <c r="AI358" s="35">
        <f t="shared" si="250"/>
        <v>450000</v>
      </c>
      <c r="AJ358" s="11">
        <f t="shared" si="251"/>
        <v>0</v>
      </c>
      <c r="AK358" s="11">
        <f t="shared" si="252"/>
        <v>0</v>
      </c>
      <c r="AL358" s="11">
        <f t="shared" si="253"/>
        <v>130000</v>
      </c>
      <c r="AM358" s="76">
        <f t="shared" si="254"/>
        <v>0</v>
      </c>
      <c r="AN358" s="51">
        <f t="shared" si="255"/>
        <v>130000</v>
      </c>
      <c r="AO358" s="36"/>
      <c r="AP358" s="9"/>
      <c r="AQ358" s="9"/>
      <c r="AR358" s="9"/>
      <c r="AS358" s="9"/>
      <c r="AT358" s="9"/>
      <c r="AU358" s="9"/>
      <c r="AV358" s="9">
        <f>AU358+AT358+AS358+AR358</f>
        <v>0</v>
      </c>
      <c r="AW358" s="10">
        <f>AP358-AQ358-AV358</f>
        <v>0</v>
      </c>
      <c r="AY358" s="11">
        <f t="shared" si="229"/>
        <v>0</v>
      </c>
    </row>
    <row r="359" spans="5:51" ht="60" customHeight="1" x14ac:dyDescent="0.2">
      <c r="E359" s="151">
        <f t="shared" si="248"/>
        <v>41207</v>
      </c>
      <c r="F359" s="170" t="s">
        <v>468</v>
      </c>
      <c r="G359" s="173"/>
      <c r="H359" s="174"/>
      <c r="I359" s="175"/>
      <c r="J359" s="176"/>
      <c r="K359" s="175"/>
      <c r="L359" s="176"/>
      <c r="M359" s="175">
        <v>130000</v>
      </c>
      <c r="N359" s="176">
        <v>130000</v>
      </c>
      <c r="O359" s="175"/>
      <c r="P359" s="176"/>
      <c r="Q359" s="165">
        <f t="shared" si="256"/>
        <v>-130000</v>
      </c>
      <c r="R359" s="166">
        <f t="shared" si="256"/>
        <v>-130000</v>
      </c>
      <c r="S359" s="156"/>
      <c r="T359" s="160"/>
      <c r="U359" s="157"/>
      <c r="V359" s="161">
        <v>1400000</v>
      </c>
      <c r="W359" s="158">
        <v>0</v>
      </c>
      <c r="X359" s="160"/>
      <c r="Y359" s="160"/>
      <c r="Z359" s="160"/>
      <c r="AA359" s="160"/>
      <c r="AB359" s="159"/>
      <c r="AC359" s="158">
        <f t="shared" si="249"/>
        <v>1400000</v>
      </c>
      <c r="AD359" s="160">
        <v>980000</v>
      </c>
      <c r="AE359" s="160"/>
      <c r="AF359" s="157"/>
      <c r="AG359" s="157">
        <f>AC359-AD359</f>
        <v>420000</v>
      </c>
      <c r="AH359" s="159"/>
      <c r="AI359" s="35">
        <f t="shared" si="250"/>
        <v>980000</v>
      </c>
      <c r="AJ359" s="11">
        <f t="shared" si="251"/>
        <v>0</v>
      </c>
      <c r="AK359" s="11">
        <f t="shared" si="252"/>
        <v>0</v>
      </c>
      <c r="AL359" s="11">
        <f t="shared" si="253"/>
        <v>420000</v>
      </c>
      <c r="AM359" s="76">
        <f t="shared" si="254"/>
        <v>0</v>
      </c>
      <c r="AN359" s="51">
        <f t="shared" si="255"/>
        <v>420000</v>
      </c>
      <c r="AO359" s="36"/>
      <c r="AP359" s="9"/>
      <c r="AQ359" s="9"/>
      <c r="AR359" s="9"/>
      <c r="AS359" s="9"/>
      <c r="AT359" s="9"/>
      <c r="AU359" s="9"/>
      <c r="AV359" s="9"/>
      <c r="AW359" s="10"/>
      <c r="AY359" s="11">
        <f t="shared" si="229"/>
        <v>0</v>
      </c>
    </row>
    <row r="360" spans="5:51" ht="60" customHeight="1" x14ac:dyDescent="0.2">
      <c r="E360" s="151">
        <f t="shared" si="248"/>
        <v>41208</v>
      </c>
      <c r="F360" s="170" t="s">
        <v>469</v>
      </c>
      <c r="G360" s="173"/>
      <c r="H360" s="174"/>
      <c r="I360" s="175"/>
      <c r="J360" s="176"/>
      <c r="K360" s="175"/>
      <c r="L360" s="176"/>
      <c r="M360" s="175"/>
      <c r="N360" s="176"/>
      <c r="O360" s="175"/>
      <c r="P360" s="176"/>
      <c r="Q360" s="165"/>
      <c r="R360" s="166"/>
      <c r="S360" s="156"/>
      <c r="T360" s="160"/>
      <c r="U360" s="157"/>
      <c r="V360" s="161">
        <v>1400000</v>
      </c>
      <c r="W360" s="158">
        <v>0</v>
      </c>
      <c r="X360" s="160"/>
      <c r="Y360" s="160"/>
      <c r="Z360" s="160"/>
      <c r="AA360" s="160"/>
      <c r="AB360" s="159"/>
      <c r="AC360" s="158">
        <f t="shared" si="249"/>
        <v>1400000</v>
      </c>
      <c r="AD360" s="160">
        <v>980000</v>
      </c>
      <c r="AE360" s="160"/>
      <c r="AF360" s="157"/>
      <c r="AG360" s="157">
        <f>AC360-AD360</f>
        <v>420000</v>
      </c>
      <c r="AH360" s="159"/>
      <c r="AI360" s="35">
        <f t="shared" si="250"/>
        <v>980000</v>
      </c>
      <c r="AJ360" s="11">
        <f t="shared" si="251"/>
        <v>0</v>
      </c>
      <c r="AK360" s="11">
        <f t="shared" si="252"/>
        <v>0</v>
      </c>
      <c r="AL360" s="11">
        <f t="shared" si="253"/>
        <v>420000</v>
      </c>
      <c r="AM360" s="76">
        <f t="shared" si="254"/>
        <v>0</v>
      </c>
      <c r="AN360" s="51">
        <f t="shared" si="255"/>
        <v>420000</v>
      </c>
      <c r="AO360" s="36"/>
      <c r="AP360" s="9"/>
      <c r="AQ360" s="9"/>
      <c r="AR360" s="9"/>
      <c r="AS360" s="9"/>
      <c r="AT360" s="9"/>
      <c r="AU360" s="9"/>
      <c r="AV360" s="9"/>
      <c r="AW360" s="10"/>
      <c r="AY360" s="11">
        <f t="shared" si="229"/>
        <v>0</v>
      </c>
    </row>
    <row r="361" spans="5:51" ht="60" customHeight="1" x14ac:dyDescent="0.2">
      <c r="E361" s="151">
        <f t="shared" si="248"/>
        <v>41209</v>
      </c>
      <c r="F361" s="170" t="s">
        <v>470</v>
      </c>
      <c r="G361" s="173"/>
      <c r="H361" s="174"/>
      <c r="I361" s="175"/>
      <c r="J361" s="176"/>
      <c r="K361" s="175"/>
      <c r="L361" s="176"/>
      <c r="M361" s="175"/>
      <c r="N361" s="176"/>
      <c r="O361" s="175"/>
      <c r="P361" s="176"/>
      <c r="Q361" s="165"/>
      <c r="R361" s="166"/>
      <c r="S361" s="156"/>
      <c r="T361" s="160"/>
      <c r="U361" s="157"/>
      <c r="V361" s="161">
        <v>200000</v>
      </c>
      <c r="W361" s="158">
        <v>200000</v>
      </c>
      <c r="X361" s="160"/>
      <c r="Y361" s="160"/>
      <c r="Z361" s="160"/>
      <c r="AA361" s="160">
        <f>W361</f>
        <v>200000</v>
      </c>
      <c r="AB361" s="159"/>
      <c r="AC361" s="158">
        <f t="shared" si="249"/>
        <v>0</v>
      </c>
      <c r="AD361" s="160"/>
      <c r="AE361" s="160"/>
      <c r="AF361" s="157"/>
      <c r="AG361" s="157"/>
      <c r="AH361" s="159"/>
      <c r="AI361" s="35">
        <f t="shared" si="250"/>
        <v>0</v>
      </c>
      <c r="AJ361" s="11">
        <f t="shared" si="251"/>
        <v>0</v>
      </c>
      <c r="AK361" s="11">
        <f t="shared" si="252"/>
        <v>0</v>
      </c>
      <c r="AL361" s="11">
        <f t="shared" si="253"/>
        <v>200000</v>
      </c>
      <c r="AM361" s="76">
        <f t="shared" si="254"/>
        <v>0</v>
      </c>
      <c r="AN361" s="51">
        <f t="shared" si="255"/>
        <v>200000</v>
      </c>
      <c r="AO361" s="36"/>
      <c r="AP361" s="9"/>
      <c r="AQ361" s="9"/>
      <c r="AR361" s="9"/>
      <c r="AS361" s="9"/>
      <c r="AT361" s="9"/>
      <c r="AU361" s="9"/>
      <c r="AV361" s="9"/>
      <c r="AW361" s="10"/>
      <c r="AY361" s="11">
        <f t="shared" si="229"/>
        <v>0</v>
      </c>
    </row>
    <row r="362" spans="5:51" ht="60" customHeight="1" x14ac:dyDescent="0.2">
      <c r="E362" s="151">
        <f t="shared" si="248"/>
        <v>41210</v>
      </c>
      <c r="F362" s="170" t="s">
        <v>471</v>
      </c>
      <c r="G362" s="173"/>
      <c r="H362" s="174"/>
      <c r="I362" s="175"/>
      <c r="J362" s="176"/>
      <c r="K362" s="175"/>
      <c r="L362" s="176"/>
      <c r="M362" s="175"/>
      <c r="N362" s="176"/>
      <c r="O362" s="175"/>
      <c r="P362" s="176"/>
      <c r="Q362" s="165"/>
      <c r="R362" s="166"/>
      <c r="S362" s="156"/>
      <c r="T362" s="160"/>
      <c r="U362" s="157"/>
      <c r="V362" s="161">
        <v>350000</v>
      </c>
      <c r="W362" s="158">
        <f>V362</f>
        <v>350000</v>
      </c>
      <c r="X362" s="160">
        <v>245000</v>
      </c>
      <c r="Y362" s="160"/>
      <c r="Z362" s="160"/>
      <c r="AA362" s="160"/>
      <c r="AB362" s="159">
        <f>W362-X362</f>
        <v>105000</v>
      </c>
      <c r="AC362" s="158">
        <f t="shared" si="249"/>
        <v>0</v>
      </c>
      <c r="AD362" s="160"/>
      <c r="AE362" s="160"/>
      <c r="AF362" s="157"/>
      <c r="AG362" s="157"/>
      <c r="AH362" s="159"/>
      <c r="AI362" s="35">
        <f t="shared" si="250"/>
        <v>245000</v>
      </c>
      <c r="AJ362" s="11">
        <f t="shared" si="251"/>
        <v>0</v>
      </c>
      <c r="AK362" s="11">
        <f t="shared" si="252"/>
        <v>0</v>
      </c>
      <c r="AL362" s="11">
        <f t="shared" si="253"/>
        <v>0</v>
      </c>
      <c r="AM362" s="76">
        <f t="shared" si="254"/>
        <v>105000</v>
      </c>
      <c r="AN362" s="51">
        <f t="shared" si="255"/>
        <v>105000</v>
      </c>
      <c r="AO362" s="36"/>
      <c r="AP362" s="9"/>
      <c r="AQ362" s="9"/>
      <c r="AR362" s="9"/>
      <c r="AS362" s="9"/>
      <c r="AT362" s="9"/>
      <c r="AU362" s="9"/>
      <c r="AV362" s="9"/>
      <c r="AW362" s="10"/>
      <c r="AY362" s="11">
        <f t="shared" si="229"/>
        <v>0</v>
      </c>
    </row>
    <row r="363" spans="5:51" ht="60" customHeight="1" x14ac:dyDescent="0.2">
      <c r="E363" s="151">
        <f t="shared" si="248"/>
        <v>41211</v>
      </c>
      <c r="F363" s="170" t="s">
        <v>472</v>
      </c>
      <c r="G363" s="173"/>
      <c r="H363" s="174"/>
      <c r="I363" s="175"/>
      <c r="J363" s="176"/>
      <c r="K363" s="175"/>
      <c r="L363" s="176"/>
      <c r="M363" s="175"/>
      <c r="N363" s="176"/>
      <c r="O363" s="175"/>
      <c r="P363" s="176"/>
      <c r="Q363" s="165"/>
      <c r="R363" s="166"/>
      <c r="S363" s="156"/>
      <c r="T363" s="160"/>
      <c r="U363" s="157"/>
      <c r="V363" s="161">
        <v>500000</v>
      </c>
      <c r="W363" s="158">
        <f>V363</f>
        <v>500000</v>
      </c>
      <c r="X363" s="160"/>
      <c r="Y363" s="160"/>
      <c r="Z363" s="160"/>
      <c r="AA363" s="160">
        <f>W363</f>
        <v>500000</v>
      </c>
      <c r="AB363" s="159"/>
      <c r="AC363" s="158">
        <f t="shared" si="249"/>
        <v>0</v>
      </c>
      <c r="AD363" s="160"/>
      <c r="AE363" s="160"/>
      <c r="AF363" s="157"/>
      <c r="AG363" s="157">
        <f>AC363</f>
        <v>0</v>
      </c>
      <c r="AH363" s="159"/>
      <c r="AI363" s="35">
        <f t="shared" si="250"/>
        <v>0</v>
      </c>
      <c r="AJ363" s="11">
        <f t="shared" si="251"/>
        <v>0</v>
      </c>
      <c r="AK363" s="11">
        <f t="shared" si="252"/>
        <v>0</v>
      </c>
      <c r="AL363" s="11">
        <f t="shared" si="253"/>
        <v>500000</v>
      </c>
      <c r="AM363" s="76">
        <f t="shared" si="254"/>
        <v>0</v>
      </c>
      <c r="AN363" s="51">
        <f t="shared" si="255"/>
        <v>500000</v>
      </c>
      <c r="AO363" s="36"/>
      <c r="AP363" s="9"/>
      <c r="AQ363" s="9"/>
      <c r="AR363" s="9"/>
      <c r="AS363" s="9"/>
      <c r="AT363" s="9"/>
      <c r="AU363" s="9"/>
      <c r="AV363" s="9"/>
      <c r="AW363" s="10"/>
      <c r="AY363" s="11">
        <f t="shared" si="229"/>
        <v>0</v>
      </c>
    </row>
    <row r="364" spans="5:51" ht="60" customHeight="1" x14ac:dyDescent="0.2">
      <c r="E364" s="151">
        <f t="shared" si="248"/>
        <v>41212</v>
      </c>
      <c r="F364" s="170" t="s">
        <v>473</v>
      </c>
      <c r="G364" s="173"/>
      <c r="H364" s="174"/>
      <c r="I364" s="175"/>
      <c r="J364" s="176"/>
      <c r="K364" s="175"/>
      <c r="L364" s="176"/>
      <c r="M364" s="175"/>
      <c r="N364" s="176"/>
      <c r="O364" s="175"/>
      <c r="P364" s="176"/>
      <c r="Q364" s="165"/>
      <c r="R364" s="166"/>
      <c r="S364" s="156"/>
      <c r="T364" s="160"/>
      <c r="U364" s="157"/>
      <c r="V364" s="161">
        <v>9500000</v>
      </c>
      <c r="W364" s="158">
        <v>0</v>
      </c>
      <c r="X364" s="160"/>
      <c r="Y364" s="160"/>
      <c r="Z364" s="160">
        <f>W364</f>
        <v>0</v>
      </c>
      <c r="AA364" s="160"/>
      <c r="AB364" s="159"/>
      <c r="AC364" s="158">
        <f t="shared" si="249"/>
        <v>9500000</v>
      </c>
      <c r="AD364" s="160"/>
      <c r="AE364" s="160">
        <f>AC364</f>
        <v>9500000</v>
      </c>
      <c r="AF364" s="157"/>
      <c r="AG364" s="157"/>
      <c r="AH364" s="159"/>
      <c r="AI364" s="35">
        <f t="shared" si="250"/>
        <v>0</v>
      </c>
      <c r="AJ364" s="11">
        <f t="shared" si="251"/>
        <v>9500000</v>
      </c>
      <c r="AK364" s="11">
        <f t="shared" si="252"/>
        <v>0</v>
      </c>
      <c r="AL364" s="11">
        <f t="shared" si="253"/>
        <v>0</v>
      </c>
      <c r="AM364" s="76">
        <f t="shared" si="254"/>
        <v>0</v>
      </c>
      <c r="AN364" s="51">
        <f t="shared" si="255"/>
        <v>9500000</v>
      </c>
      <c r="AO364" s="36"/>
      <c r="AP364" s="9"/>
      <c r="AQ364" s="9"/>
      <c r="AR364" s="9"/>
      <c r="AS364" s="9"/>
      <c r="AT364" s="9"/>
      <c r="AU364" s="9"/>
      <c r="AV364" s="9"/>
      <c r="AW364" s="10"/>
      <c r="AY364" s="11">
        <f t="shared" si="229"/>
        <v>0</v>
      </c>
    </row>
    <row r="365" spans="5:51" ht="60" customHeight="1" x14ac:dyDescent="0.2">
      <c r="E365" s="151">
        <f t="shared" si="248"/>
        <v>41213</v>
      </c>
      <c r="F365" s="170" t="s">
        <v>548</v>
      </c>
      <c r="G365" s="173"/>
      <c r="H365" s="174"/>
      <c r="I365" s="175"/>
      <c r="J365" s="176"/>
      <c r="K365" s="175"/>
      <c r="L365" s="176"/>
      <c r="M365" s="175"/>
      <c r="N365" s="176"/>
      <c r="O365" s="175"/>
      <c r="P365" s="176"/>
      <c r="Q365" s="165"/>
      <c r="R365" s="166"/>
      <c r="S365" s="156"/>
      <c r="T365" s="160"/>
      <c r="U365" s="157"/>
      <c r="V365" s="161">
        <v>30000</v>
      </c>
      <c r="W365" s="158"/>
      <c r="X365" s="160"/>
      <c r="Y365" s="160"/>
      <c r="Z365" s="160"/>
      <c r="AA365" s="160"/>
      <c r="AB365" s="159"/>
      <c r="AC365" s="158">
        <f>V365</f>
        <v>30000</v>
      </c>
      <c r="AD365" s="160"/>
      <c r="AE365" s="160"/>
      <c r="AF365" s="157"/>
      <c r="AG365" s="157">
        <f>AC365</f>
        <v>30000</v>
      </c>
      <c r="AH365" s="159"/>
      <c r="AI365" s="35">
        <f t="shared" si="250"/>
        <v>0</v>
      </c>
      <c r="AJ365" s="11">
        <f t="shared" si="251"/>
        <v>0</v>
      </c>
      <c r="AK365" s="11">
        <f t="shared" si="252"/>
        <v>0</v>
      </c>
      <c r="AL365" s="11">
        <f t="shared" si="253"/>
        <v>30000</v>
      </c>
      <c r="AM365" s="76">
        <f t="shared" si="254"/>
        <v>0</v>
      </c>
      <c r="AN365" s="51">
        <f t="shared" si="255"/>
        <v>30000</v>
      </c>
      <c r="AO365" s="36"/>
      <c r="AP365" s="9"/>
      <c r="AQ365" s="9"/>
      <c r="AR365" s="9"/>
      <c r="AS365" s="9"/>
      <c r="AT365" s="9"/>
      <c r="AU365" s="9"/>
      <c r="AV365" s="9"/>
      <c r="AW365" s="10"/>
      <c r="AY365" s="11"/>
    </row>
    <row r="366" spans="5:51" ht="60" customHeight="1" x14ac:dyDescent="0.2">
      <c r="E366" s="149"/>
      <c r="F366" s="127" t="s">
        <v>186</v>
      </c>
      <c r="G366" s="118">
        <f t="shared" ref="G366:AV366" si="257">SUM(G353:G364)</f>
        <v>2380000</v>
      </c>
      <c r="H366" s="116">
        <f t="shared" si="257"/>
        <v>2378444</v>
      </c>
      <c r="I366" s="115">
        <f t="shared" si="257"/>
        <v>2790000</v>
      </c>
      <c r="J366" s="117">
        <f t="shared" si="257"/>
        <v>2740000</v>
      </c>
      <c r="K366" s="115">
        <f t="shared" si="257"/>
        <v>2330000</v>
      </c>
      <c r="L366" s="117">
        <f t="shared" si="257"/>
        <v>2324000</v>
      </c>
      <c r="M366" s="115">
        <f t="shared" si="257"/>
        <v>2450000</v>
      </c>
      <c r="N366" s="117">
        <f t="shared" si="257"/>
        <v>2449028</v>
      </c>
      <c r="O366" s="115">
        <f t="shared" si="257"/>
        <v>4842000</v>
      </c>
      <c r="P366" s="117">
        <f t="shared" si="257"/>
        <v>4200800</v>
      </c>
      <c r="Q366" s="115">
        <f t="shared" si="257"/>
        <v>2392000</v>
      </c>
      <c r="R366" s="117">
        <f t="shared" si="257"/>
        <v>1751772</v>
      </c>
      <c r="S366" s="118">
        <f t="shared" si="257"/>
        <v>978000</v>
      </c>
      <c r="T366" s="120">
        <f t="shared" si="257"/>
        <v>506000</v>
      </c>
      <c r="U366" s="116">
        <f t="shared" si="257"/>
        <v>472000</v>
      </c>
      <c r="V366" s="119">
        <f>SUM(V353:V365)</f>
        <v>17140000</v>
      </c>
      <c r="W366" s="115">
        <f t="shared" ref="W366:AM366" si="258">SUM(W353:W365)</f>
        <v>4510000</v>
      </c>
      <c r="X366" s="120">
        <f t="shared" si="258"/>
        <v>695000</v>
      </c>
      <c r="Y366" s="120">
        <f t="shared" si="258"/>
        <v>0</v>
      </c>
      <c r="Z366" s="120">
        <f t="shared" si="258"/>
        <v>200000</v>
      </c>
      <c r="AA366" s="120">
        <f t="shared" si="258"/>
        <v>2385000</v>
      </c>
      <c r="AB366" s="117">
        <f t="shared" si="258"/>
        <v>1230000</v>
      </c>
      <c r="AC366" s="115">
        <f t="shared" si="258"/>
        <v>12630000</v>
      </c>
      <c r="AD366" s="120">
        <f t="shared" si="258"/>
        <v>1960000</v>
      </c>
      <c r="AE366" s="120">
        <f t="shared" si="258"/>
        <v>9500000</v>
      </c>
      <c r="AF366" s="116">
        <f t="shared" si="258"/>
        <v>300000</v>
      </c>
      <c r="AG366" s="116">
        <f t="shared" si="258"/>
        <v>870000</v>
      </c>
      <c r="AH366" s="117">
        <f t="shared" si="258"/>
        <v>0</v>
      </c>
      <c r="AI366" s="47">
        <f t="shared" si="258"/>
        <v>2655000</v>
      </c>
      <c r="AJ366" s="10">
        <f t="shared" si="258"/>
        <v>9500000</v>
      </c>
      <c r="AK366" s="10">
        <f t="shared" si="258"/>
        <v>500000</v>
      </c>
      <c r="AL366" s="10">
        <f t="shared" si="258"/>
        <v>3255000</v>
      </c>
      <c r="AM366" s="48">
        <f t="shared" si="258"/>
        <v>1230000</v>
      </c>
      <c r="AN366" s="52">
        <f>SUM(AN353:AN365)</f>
        <v>14485000</v>
      </c>
      <c r="AO366" s="39">
        <f t="shared" si="257"/>
        <v>0</v>
      </c>
      <c r="AP366" s="10">
        <f t="shared" si="257"/>
        <v>0</v>
      </c>
      <c r="AQ366" s="10">
        <f t="shared" si="257"/>
        <v>0</v>
      </c>
      <c r="AR366" s="10">
        <f t="shared" si="257"/>
        <v>0</v>
      </c>
      <c r="AS366" s="10">
        <f t="shared" si="257"/>
        <v>0</v>
      </c>
      <c r="AT366" s="10">
        <f t="shared" si="257"/>
        <v>0</v>
      </c>
      <c r="AU366" s="10">
        <f t="shared" si="257"/>
        <v>0</v>
      </c>
      <c r="AV366" s="10">
        <f t="shared" si="257"/>
        <v>0</v>
      </c>
      <c r="AW366" s="10">
        <f t="shared" ref="AW366:AW371" si="259">AP366-AQ366-AV366</f>
        <v>0</v>
      </c>
      <c r="AY366" s="11">
        <f t="shared" ref="AY366:AY378" si="260">V366-W366-AC366</f>
        <v>0</v>
      </c>
    </row>
    <row r="367" spans="5:51" ht="60" customHeight="1" x14ac:dyDescent="0.2">
      <c r="E367" s="151">
        <v>41300</v>
      </c>
      <c r="F367" s="155" t="s">
        <v>187</v>
      </c>
      <c r="G367" s="173"/>
      <c r="H367" s="174"/>
      <c r="I367" s="175"/>
      <c r="J367" s="176"/>
      <c r="K367" s="175"/>
      <c r="L367" s="176"/>
      <c r="M367" s="175"/>
      <c r="N367" s="176"/>
      <c r="O367" s="175"/>
      <c r="P367" s="176"/>
      <c r="Q367" s="175"/>
      <c r="R367" s="176"/>
      <c r="S367" s="156"/>
      <c r="T367" s="160"/>
      <c r="U367" s="157"/>
      <c r="V367" s="161"/>
      <c r="W367" s="158"/>
      <c r="X367" s="160"/>
      <c r="Y367" s="160"/>
      <c r="Z367" s="160"/>
      <c r="AA367" s="160"/>
      <c r="AB367" s="159"/>
      <c r="AC367" s="158"/>
      <c r="AD367" s="160"/>
      <c r="AE367" s="160"/>
      <c r="AF367" s="157"/>
      <c r="AG367" s="157"/>
      <c r="AH367" s="159"/>
      <c r="AI367" s="45"/>
      <c r="AJ367" s="9"/>
      <c r="AK367" s="9"/>
      <c r="AL367" s="14"/>
      <c r="AM367" s="46"/>
      <c r="AN367" s="50"/>
      <c r="AO367" s="36"/>
      <c r="AP367" s="9"/>
      <c r="AQ367" s="9"/>
      <c r="AR367" s="9"/>
      <c r="AS367" s="9"/>
      <c r="AT367" s="9"/>
      <c r="AU367" s="9"/>
      <c r="AV367" s="9"/>
      <c r="AW367" s="10">
        <f t="shared" si="259"/>
        <v>0</v>
      </c>
      <c r="AY367" s="11">
        <f t="shared" si="260"/>
        <v>0</v>
      </c>
    </row>
    <row r="368" spans="5:51" ht="60" customHeight="1" x14ac:dyDescent="0.2">
      <c r="E368" s="151">
        <f>E367+1</f>
        <v>41301</v>
      </c>
      <c r="F368" s="170" t="s">
        <v>188</v>
      </c>
      <c r="G368" s="173">
        <v>220000</v>
      </c>
      <c r="H368" s="174">
        <f>G368</f>
        <v>220000</v>
      </c>
      <c r="I368" s="175">
        <v>500000</v>
      </c>
      <c r="J368" s="176">
        <v>511200</v>
      </c>
      <c r="K368" s="175">
        <v>2150000</v>
      </c>
      <c r="L368" s="176">
        <f>608000+15000+250000+235000+521402+60000+250000+170800+40000</f>
        <v>2150202</v>
      </c>
      <c r="M368" s="175">
        <v>1005000</v>
      </c>
      <c r="N368" s="176">
        <f>500000+344000+161000</f>
        <v>1005000</v>
      </c>
      <c r="O368" s="175">
        <v>577000</v>
      </c>
      <c r="P368" s="176">
        <v>250000</v>
      </c>
      <c r="Q368" s="165">
        <f>O368-M368</f>
        <v>-428000</v>
      </c>
      <c r="R368" s="166">
        <f>P368-N368</f>
        <v>-755000</v>
      </c>
      <c r="S368" s="156">
        <v>169000</v>
      </c>
      <c r="T368" s="160">
        <v>60000</v>
      </c>
      <c r="U368" s="164">
        <f>S368-T368</f>
        <v>109000</v>
      </c>
      <c r="V368" s="161">
        <v>920000</v>
      </c>
      <c r="W368" s="158">
        <v>300000</v>
      </c>
      <c r="X368" s="160"/>
      <c r="Y368" s="160"/>
      <c r="Z368" s="160"/>
      <c r="AA368" s="160">
        <f>W368/2</f>
        <v>150000</v>
      </c>
      <c r="AB368" s="159">
        <f>W368-AA368</f>
        <v>150000</v>
      </c>
      <c r="AC368" s="158">
        <f t="shared" ref="AC368:AC375" si="261">V368-W368</f>
        <v>620000</v>
      </c>
      <c r="AD368" s="160"/>
      <c r="AE368" s="160"/>
      <c r="AF368" s="157"/>
      <c r="AG368" s="160">
        <f>AC368/2</f>
        <v>310000</v>
      </c>
      <c r="AH368" s="159">
        <f>AC368-AG368</f>
        <v>310000</v>
      </c>
      <c r="AI368" s="35">
        <f t="shared" ref="AI368:AI375" si="262">AD368+X368</f>
        <v>0</v>
      </c>
      <c r="AJ368" s="11">
        <f t="shared" ref="AJ368:AJ375" si="263">AE368+Y368</f>
        <v>0</v>
      </c>
      <c r="AK368" s="11">
        <f t="shared" ref="AK368:AK375" si="264">AF368+Z368</f>
        <v>0</v>
      </c>
      <c r="AL368" s="11">
        <f t="shared" ref="AL368:AL375" si="265">AG368+AA368</f>
        <v>460000</v>
      </c>
      <c r="AM368" s="76">
        <f t="shared" ref="AM368:AM375" si="266">AH368+AB368</f>
        <v>460000</v>
      </c>
      <c r="AN368" s="51">
        <f t="shared" ref="AN368:AN375" si="267">SUM(AJ368:AM368)</f>
        <v>920000</v>
      </c>
      <c r="AO368" s="36"/>
      <c r="AP368" s="9"/>
      <c r="AQ368" s="9"/>
      <c r="AR368" s="9"/>
      <c r="AS368" s="9"/>
      <c r="AT368" s="9"/>
      <c r="AU368" s="9"/>
      <c r="AV368" s="9">
        <f>AU368+AT368+AS368+AR368</f>
        <v>0</v>
      </c>
      <c r="AW368" s="10">
        <f t="shared" si="259"/>
        <v>0</v>
      </c>
      <c r="AY368" s="11">
        <f t="shared" si="260"/>
        <v>0</v>
      </c>
    </row>
    <row r="369" spans="5:51" ht="60" customHeight="1" x14ac:dyDescent="0.2">
      <c r="E369" s="151">
        <f t="shared" ref="E369:E375" si="268">E368+1</f>
        <v>41302</v>
      </c>
      <c r="F369" s="170" t="s">
        <v>189</v>
      </c>
      <c r="G369" s="173">
        <v>460000</v>
      </c>
      <c r="H369" s="174">
        <f>G369</f>
        <v>460000</v>
      </c>
      <c r="I369" s="175">
        <v>400000</v>
      </c>
      <c r="J369" s="176">
        <v>414146</v>
      </c>
      <c r="K369" s="175">
        <v>745000</v>
      </c>
      <c r="L369" s="176">
        <v>744492</v>
      </c>
      <c r="M369" s="175">
        <v>400000</v>
      </c>
      <c r="N369" s="176">
        <v>400000</v>
      </c>
      <c r="O369" s="175">
        <v>642000</v>
      </c>
      <c r="P369" s="176">
        <v>200000</v>
      </c>
      <c r="Q369" s="165">
        <f t="shared" ref="Q369:R375" si="269">O369-M369</f>
        <v>242000</v>
      </c>
      <c r="R369" s="166">
        <f t="shared" si="269"/>
        <v>-200000</v>
      </c>
      <c r="S369" s="156">
        <v>111000</v>
      </c>
      <c r="T369" s="160"/>
      <c r="U369" s="164">
        <f>S369</f>
        <v>111000</v>
      </c>
      <c r="V369" s="161">
        <v>893000</v>
      </c>
      <c r="W369" s="158">
        <v>500000</v>
      </c>
      <c r="X369" s="160"/>
      <c r="Y369" s="160"/>
      <c r="Z369" s="160"/>
      <c r="AA369" s="160">
        <f>W369/2</f>
        <v>250000</v>
      </c>
      <c r="AB369" s="159">
        <f>W369-AA369</f>
        <v>250000</v>
      </c>
      <c r="AC369" s="158">
        <f t="shared" si="261"/>
        <v>393000</v>
      </c>
      <c r="AD369" s="160"/>
      <c r="AE369" s="160"/>
      <c r="AF369" s="157"/>
      <c r="AG369" s="160">
        <f>AC369/2</f>
        <v>196500</v>
      </c>
      <c r="AH369" s="159">
        <f>AC369-AG369</f>
        <v>196500</v>
      </c>
      <c r="AI369" s="35">
        <f t="shared" si="262"/>
        <v>0</v>
      </c>
      <c r="AJ369" s="11">
        <f t="shared" si="263"/>
        <v>0</v>
      </c>
      <c r="AK369" s="11">
        <f t="shared" si="264"/>
        <v>0</v>
      </c>
      <c r="AL369" s="11">
        <f t="shared" si="265"/>
        <v>446500</v>
      </c>
      <c r="AM369" s="76">
        <f t="shared" si="266"/>
        <v>446500</v>
      </c>
      <c r="AN369" s="51">
        <f t="shared" si="267"/>
        <v>893000</v>
      </c>
      <c r="AO369" s="36"/>
      <c r="AP369" s="9"/>
      <c r="AQ369" s="9"/>
      <c r="AR369" s="9"/>
      <c r="AS369" s="9"/>
      <c r="AT369" s="9"/>
      <c r="AU369" s="9"/>
      <c r="AV369" s="9">
        <f>AU369+AT369+AS369+AR369</f>
        <v>0</v>
      </c>
      <c r="AW369" s="10">
        <f t="shared" si="259"/>
        <v>0</v>
      </c>
      <c r="AY369" s="11">
        <f t="shared" si="260"/>
        <v>0</v>
      </c>
    </row>
    <row r="370" spans="5:51" ht="60" customHeight="1" x14ac:dyDescent="0.2">
      <c r="E370" s="151">
        <f t="shared" si="268"/>
        <v>41303</v>
      </c>
      <c r="F370" s="170" t="s">
        <v>190</v>
      </c>
      <c r="G370" s="156">
        <v>135000</v>
      </c>
      <c r="H370" s="157">
        <f>G370</f>
        <v>135000</v>
      </c>
      <c r="I370" s="158">
        <v>135000</v>
      </c>
      <c r="J370" s="159">
        <f>I370</f>
        <v>135000</v>
      </c>
      <c r="K370" s="158">
        <v>150000</v>
      </c>
      <c r="L370" s="159">
        <v>150000</v>
      </c>
      <c r="M370" s="158">
        <v>150000</v>
      </c>
      <c r="N370" s="159">
        <v>50000</v>
      </c>
      <c r="O370" s="158">
        <v>115000</v>
      </c>
      <c r="P370" s="159"/>
      <c r="Q370" s="165">
        <f t="shared" si="269"/>
        <v>-35000</v>
      </c>
      <c r="R370" s="166">
        <f t="shared" si="269"/>
        <v>-50000</v>
      </c>
      <c r="S370" s="156">
        <v>14000</v>
      </c>
      <c r="T370" s="160"/>
      <c r="U370" s="157">
        <f>S370</f>
        <v>14000</v>
      </c>
      <c r="V370" s="161">
        <v>115000</v>
      </c>
      <c r="W370" s="158">
        <v>115000</v>
      </c>
      <c r="X370" s="160"/>
      <c r="Y370" s="160"/>
      <c r="Z370" s="160"/>
      <c r="AA370" s="160">
        <f>W370/2</f>
        <v>57500</v>
      </c>
      <c r="AB370" s="159">
        <f>W370-AA370</f>
        <v>57500</v>
      </c>
      <c r="AC370" s="158">
        <f t="shared" si="261"/>
        <v>0</v>
      </c>
      <c r="AD370" s="160"/>
      <c r="AE370" s="160"/>
      <c r="AF370" s="157"/>
      <c r="AG370" s="157"/>
      <c r="AH370" s="159"/>
      <c r="AI370" s="35">
        <f t="shared" si="262"/>
        <v>0</v>
      </c>
      <c r="AJ370" s="11">
        <f t="shared" si="263"/>
        <v>0</v>
      </c>
      <c r="AK370" s="11">
        <f t="shared" si="264"/>
        <v>0</v>
      </c>
      <c r="AL370" s="11">
        <f t="shared" si="265"/>
        <v>57500</v>
      </c>
      <c r="AM370" s="76">
        <f t="shared" si="266"/>
        <v>57500</v>
      </c>
      <c r="AN370" s="51">
        <f t="shared" si="267"/>
        <v>115000</v>
      </c>
      <c r="AO370" s="36"/>
      <c r="AP370" s="9"/>
      <c r="AQ370" s="9"/>
      <c r="AR370" s="9"/>
      <c r="AS370" s="9"/>
      <c r="AT370" s="9"/>
      <c r="AU370" s="9"/>
      <c r="AV370" s="9">
        <f>AU370+AT370+AS370+AR370</f>
        <v>0</v>
      </c>
      <c r="AW370" s="10">
        <f t="shared" si="259"/>
        <v>0</v>
      </c>
      <c r="AY370" s="11">
        <f t="shared" si="260"/>
        <v>0</v>
      </c>
    </row>
    <row r="371" spans="5:51" ht="60" customHeight="1" x14ac:dyDescent="0.2">
      <c r="E371" s="151">
        <f t="shared" si="268"/>
        <v>41304</v>
      </c>
      <c r="F371" s="170" t="s">
        <v>191</v>
      </c>
      <c r="G371" s="156"/>
      <c r="H371" s="157"/>
      <c r="I371" s="158"/>
      <c r="J371" s="159"/>
      <c r="K371" s="158">
        <f>150000+158000</f>
        <v>308000</v>
      </c>
      <c r="L371" s="159">
        <v>308000</v>
      </c>
      <c r="M371" s="158">
        <v>650000</v>
      </c>
      <c r="N371" s="159">
        <v>650000</v>
      </c>
      <c r="O371" s="158">
        <v>1486000</v>
      </c>
      <c r="P371" s="159">
        <v>1074000</v>
      </c>
      <c r="Q371" s="165">
        <f t="shared" si="269"/>
        <v>836000</v>
      </c>
      <c r="R371" s="166">
        <f t="shared" si="269"/>
        <v>424000</v>
      </c>
      <c r="S371" s="156">
        <v>490000</v>
      </c>
      <c r="T371" s="160"/>
      <c r="U371" s="164">
        <f>S371</f>
        <v>490000</v>
      </c>
      <c r="V371" s="161">
        <v>2182000</v>
      </c>
      <c r="W371" s="158">
        <v>0</v>
      </c>
      <c r="X371" s="160"/>
      <c r="Y371" s="160">
        <f>W371</f>
        <v>0</v>
      </c>
      <c r="Z371" s="160"/>
      <c r="AA371" s="160"/>
      <c r="AB371" s="159"/>
      <c r="AC371" s="158">
        <f t="shared" si="261"/>
        <v>2182000</v>
      </c>
      <c r="AD371" s="160"/>
      <c r="AE371" s="160"/>
      <c r="AF371" s="157"/>
      <c r="AG371" s="157">
        <f>AC371</f>
        <v>2182000</v>
      </c>
      <c r="AH371" s="159"/>
      <c r="AI371" s="35">
        <f t="shared" si="262"/>
        <v>0</v>
      </c>
      <c r="AJ371" s="11">
        <f t="shared" si="263"/>
        <v>0</v>
      </c>
      <c r="AK371" s="11">
        <f t="shared" si="264"/>
        <v>0</v>
      </c>
      <c r="AL371" s="11">
        <f t="shared" si="265"/>
        <v>2182000</v>
      </c>
      <c r="AM371" s="76">
        <f t="shared" si="266"/>
        <v>0</v>
      </c>
      <c r="AN371" s="51">
        <f t="shared" si="267"/>
        <v>2182000</v>
      </c>
      <c r="AO371" s="36"/>
      <c r="AP371" s="9"/>
      <c r="AQ371" s="9"/>
      <c r="AR371" s="9"/>
      <c r="AS371" s="9"/>
      <c r="AT371" s="9"/>
      <c r="AU371" s="9"/>
      <c r="AV371" s="9">
        <f>AU371+AT371+AS371+AR371</f>
        <v>0</v>
      </c>
      <c r="AW371" s="10">
        <f t="shared" si="259"/>
        <v>0</v>
      </c>
      <c r="AY371" s="11">
        <f t="shared" si="260"/>
        <v>0</v>
      </c>
    </row>
    <row r="372" spans="5:51" ht="60" customHeight="1" x14ac:dyDescent="0.2">
      <c r="E372" s="151">
        <f t="shared" si="268"/>
        <v>41305</v>
      </c>
      <c r="F372" s="170" t="s">
        <v>474</v>
      </c>
      <c r="G372" s="156"/>
      <c r="H372" s="157"/>
      <c r="I372" s="158"/>
      <c r="J372" s="159"/>
      <c r="K372" s="158"/>
      <c r="L372" s="159"/>
      <c r="M372" s="158"/>
      <c r="N372" s="159"/>
      <c r="O372" s="158"/>
      <c r="P372" s="159"/>
      <c r="Q372" s="165"/>
      <c r="R372" s="166"/>
      <c r="S372" s="156"/>
      <c r="T372" s="160"/>
      <c r="U372" s="164"/>
      <c r="V372" s="161">
        <v>797000</v>
      </c>
      <c r="W372" s="158">
        <v>0</v>
      </c>
      <c r="X372" s="160"/>
      <c r="Y372" s="160">
        <f>W372</f>
        <v>0</v>
      </c>
      <c r="Z372" s="160"/>
      <c r="AA372" s="160"/>
      <c r="AB372" s="159"/>
      <c r="AC372" s="158">
        <f t="shared" si="261"/>
        <v>797000</v>
      </c>
      <c r="AD372" s="160"/>
      <c r="AE372" s="160"/>
      <c r="AF372" s="157"/>
      <c r="AG372" s="157">
        <f>AC372</f>
        <v>797000</v>
      </c>
      <c r="AH372" s="159"/>
      <c r="AI372" s="35">
        <f t="shared" si="262"/>
        <v>0</v>
      </c>
      <c r="AJ372" s="11">
        <f t="shared" si="263"/>
        <v>0</v>
      </c>
      <c r="AK372" s="11">
        <f t="shared" si="264"/>
        <v>0</v>
      </c>
      <c r="AL372" s="11">
        <f t="shared" si="265"/>
        <v>797000</v>
      </c>
      <c r="AM372" s="76">
        <f t="shared" si="266"/>
        <v>0</v>
      </c>
      <c r="AN372" s="51">
        <f t="shared" si="267"/>
        <v>797000</v>
      </c>
      <c r="AO372" s="36"/>
      <c r="AP372" s="9"/>
      <c r="AQ372" s="9"/>
      <c r="AR372" s="9"/>
      <c r="AS372" s="9"/>
      <c r="AT372" s="9"/>
      <c r="AU372" s="9"/>
      <c r="AV372" s="9"/>
      <c r="AW372" s="10"/>
      <c r="AY372" s="11">
        <f t="shared" si="260"/>
        <v>0</v>
      </c>
    </row>
    <row r="373" spans="5:51" ht="60" customHeight="1" x14ac:dyDescent="0.2">
      <c r="E373" s="151">
        <f t="shared" si="268"/>
        <v>41306</v>
      </c>
      <c r="F373" s="170" t="s">
        <v>511</v>
      </c>
      <c r="G373" s="156"/>
      <c r="H373" s="157"/>
      <c r="I373" s="158"/>
      <c r="J373" s="159"/>
      <c r="K373" s="158"/>
      <c r="L373" s="159"/>
      <c r="M373" s="158"/>
      <c r="N373" s="159"/>
      <c r="O373" s="158"/>
      <c r="P373" s="159"/>
      <c r="Q373" s="165"/>
      <c r="R373" s="166"/>
      <c r="S373" s="156"/>
      <c r="T373" s="160"/>
      <c r="U373" s="164"/>
      <c r="V373" s="161">
        <v>903000</v>
      </c>
      <c r="W373" s="158">
        <v>0</v>
      </c>
      <c r="X373" s="160"/>
      <c r="Y373" s="160">
        <f>W373</f>
        <v>0</v>
      </c>
      <c r="Z373" s="160"/>
      <c r="AA373" s="160"/>
      <c r="AB373" s="159"/>
      <c r="AC373" s="158">
        <f t="shared" si="261"/>
        <v>903000</v>
      </c>
      <c r="AD373" s="160"/>
      <c r="AE373" s="160"/>
      <c r="AF373" s="157"/>
      <c r="AG373" s="157">
        <f>AC373</f>
        <v>903000</v>
      </c>
      <c r="AH373" s="159"/>
      <c r="AI373" s="35">
        <f t="shared" si="262"/>
        <v>0</v>
      </c>
      <c r="AJ373" s="11">
        <f t="shared" si="263"/>
        <v>0</v>
      </c>
      <c r="AK373" s="11">
        <f t="shared" si="264"/>
        <v>0</v>
      </c>
      <c r="AL373" s="11">
        <f t="shared" si="265"/>
        <v>903000</v>
      </c>
      <c r="AM373" s="76">
        <f t="shared" si="266"/>
        <v>0</v>
      </c>
      <c r="AN373" s="51">
        <f t="shared" si="267"/>
        <v>903000</v>
      </c>
      <c r="AO373" s="36"/>
      <c r="AP373" s="9"/>
      <c r="AQ373" s="9"/>
      <c r="AR373" s="9"/>
      <c r="AS373" s="9"/>
      <c r="AT373" s="9"/>
      <c r="AU373" s="9"/>
      <c r="AV373" s="9"/>
      <c r="AW373" s="10"/>
      <c r="AY373" s="11">
        <f t="shared" si="260"/>
        <v>0</v>
      </c>
    </row>
    <row r="374" spans="5:51" ht="60" customHeight="1" x14ac:dyDescent="0.2">
      <c r="E374" s="151">
        <f t="shared" si="268"/>
        <v>41307</v>
      </c>
      <c r="F374" s="170" t="s">
        <v>475</v>
      </c>
      <c r="G374" s="156"/>
      <c r="H374" s="157"/>
      <c r="I374" s="158"/>
      <c r="J374" s="159"/>
      <c r="K374" s="158"/>
      <c r="L374" s="159"/>
      <c r="M374" s="158"/>
      <c r="N374" s="159"/>
      <c r="O374" s="158"/>
      <c r="P374" s="159"/>
      <c r="Q374" s="165"/>
      <c r="R374" s="166"/>
      <c r="S374" s="156"/>
      <c r="T374" s="160"/>
      <c r="U374" s="164"/>
      <c r="V374" s="161">
        <v>265000</v>
      </c>
      <c r="W374" s="158">
        <v>0</v>
      </c>
      <c r="X374" s="160"/>
      <c r="Y374" s="160">
        <f>W374</f>
        <v>0</v>
      </c>
      <c r="Z374" s="160"/>
      <c r="AA374" s="160"/>
      <c r="AB374" s="159"/>
      <c r="AC374" s="158">
        <f t="shared" si="261"/>
        <v>265000</v>
      </c>
      <c r="AD374" s="160"/>
      <c r="AE374" s="160"/>
      <c r="AF374" s="157"/>
      <c r="AG374" s="157">
        <f>AC374</f>
        <v>265000</v>
      </c>
      <c r="AH374" s="159"/>
      <c r="AI374" s="35">
        <f t="shared" si="262"/>
        <v>0</v>
      </c>
      <c r="AJ374" s="11">
        <f t="shared" si="263"/>
        <v>0</v>
      </c>
      <c r="AK374" s="11">
        <f t="shared" si="264"/>
        <v>0</v>
      </c>
      <c r="AL374" s="11">
        <f t="shared" si="265"/>
        <v>265000</v>
      </c>
      <c r="AM374" s="76">
        <f t="shared" si="266"/>
        <v>0</v>
      </c>
      <c r="AN374" s="51">
        <f t="shared" si="267"/>
        <v>265000</v>
      </c>
      <c r="AO374" s="36"/>
      <c r="AP374" s="9"/>
      <c r="AQ374" s="9"/>
      <c r="AR374" s="9"/>
      <c r="AS374" s="9"/>
      <c r="AT374" s="9"/>
      <c r="AU374" s="9"/>
      <c r="AV374" s="9"/>
      <c r="AW374" s="10"/>
      <c r="AY374" s="11">
        <f t="shared" si="260"/>
        <v>0</v>
      </c>
    </row>
    <row r="375" spans="5:51" ht="60" customHeight="1" x14ac:dyDescent="0.2">
      <c r="E375" s="151">
        <f t="shared" si="268"/>
        <v>41308</v>
      </c>
      <c r="F375" s="170" t="s">
        <v>300</v>
      </c>
      <c r="G375" s="156"/>
      <c r="H375" s="157"/>
      <c r="I375" s="158">
        <v>50000</v>
      </c>
      <c r="J375" s="159">
        <f>I375</f>
        <v>50000</v>
      </c>
      <c r="K375" s="158">
        <v>50000</v>
      </c>
      <c r="L375" s="159">
        <v>50000</v>
      </c>
      <c r="M375" s="158">
        <v>50000</v>
      </c>
      <c r="N375" s="159">
        <v>50000</v>
      </c>
      <c r="O375" s="158">
        <v>50000</v>
      </c>
      <c r="P375" s="159">
        <v>50000</v>
      </c>
      <c r="Q375" s="165">
        <f t="shared" si="269"/>
        <v>0</v>
      </c>
      <c r="R375" s="166">
        <f t="shared" si="269"/>
        <v>0</v>
      </c>
      <c r="S375" s="156">
        <v>8000</v>
      </c>
      <c r="T375" s="160"/>
      <c r="U375" s="164">
        <f>S375</f>
        <v>8000</v>
      </c>
      <c r="V375" s="161">
        <v>50000</v>
      </c>
      <c r="W375" s="158">
        <v>50000</v>
      </c>
      <c r="X375" s="160"/>
      <c r="Y375" s="160"/>
      <c r="Z375" s="160"/>
      <c r="AA375" s="160">
        <f>W375</f>
        <v>50000</v>
      </c>
      <c r="AB375" s="159"/>
      <c r="AC375" s="158">
        <f t="shared" si="261"/>
        <v>0</v>
      </c>
      <c r="AD375" s="160"/>
      <c r="AE375" s="160"/>
      <c r="AF375" s="157"/>
      <c r="AG375" s="157"/>
      <c r="AH375" s="159"/>
      <c r="AI375" s="35">
        <f t="shared" si="262"/>
        <v>0</v>
      </c>
      <c r="AJ375" s="11">
        <f t="shared" si="263"/>
        <v>0</v>
      </c>
      <c r="AK375" s="11">
        <f t="shared" si="264"/>
        <v>0</v>
      </c>
      <c r="AL375" s="11">
        <f t="shared" si="265"/>
        <v>50000</v>
      </c>
      <c r="AM375" s="76">
        <f t="shared" si="266"/>
        <v>0</v>
      </c>
      <c r="AN375" s="51">
        <f t="shared" si="267"/>
        <v>50000</v>
      </c>
      <c r="AO375" s="36"/>
      <c r="AP375" s="9"/>
      <c r="AQ375" s="9"/>
      <c r="AR375" s="9"/>
      <c r="AS375" s="9"/>
      <c r="AT375" s="9"/>
      <c r="AU375" s="9"/>
      <c r="AV375" s="9">
        <f>AU375+AT375+AS375+AR375</f>
        <v>0</v>
      </c>
      <c r="AW375" s="10"/>
      <c r="AY375" s="11">
        <f t="shared" si="260"/>
        <v>0</v>
      </c>
    </row>
    <row r="376" spans="5:51" ht="60" customHeight="1" x14ac:dyDescent="0.2">
      <c r="E376" s="151"/>
      <c r="F376" s="127" t="s">
        <v>192</v>
      </c>
      <c r="G376" s="118">
        <f t="shared" ref="G376:AV376" si="270">SUM(G368:G375)</f>
        <v>815000</v>
      </c>
      <c r="H376" s="116">
        <f t="shared" si="270"/>
        <v>815000</v>
      </c>
      <c r="I376" s="115">
        <f t="shared" si="270"/>
        <v>1085000</v>
      </c>
      <c r="J376" s="117">
        <f t="shared" si="270"/>
        <v>1110346</v>
      </c>
      <c r="K376" s="115">
        <f t="shared" si="270"/>
        <v>3403000</v>
      </c>
      <c r="L376" s="117">
        <f t="shared" si="270"/>
        <v>3402694</v>
      </c>
      <c r="M376" s="115">
        <f t="shared" si="270"/>
        <v>2255000</v>
      </c>
      <c r="N376" s="117">
        <f t="shared" si="270"/>
        <v>2155000</v>
      </c>
      <c r="O376" s="115">
        <f t="shared" si="270"/>
        <v>2870000</v>
      </c>
      <c r="P376" s="117">
        <f t="shared" si="270"/>
        <v>1574000</v>
      </c>
      <c r="Q376" s="115">
        <f t="shared" si="270"/>
        <v>615000</v>
      </c>
      <c r="R376" s="117">
        <f t="shared" si="270"/>
        <v>-581000</v>
      </c>
      <c r="S376" s="118">
        <f t="shared" si="270"/>
        <v>792000</v>
      </c>
      <c r="T376" s="120">
        <f t="shared" si="270"/>
        <v>60000</v>
      </c>
      <c r="U376" s="116">
        <f t="shared" si="270"/>
        <v>732000</v>
      </c>
      <c r="V376" s="119">
        <f t="shared" si="270"/>
        <v>6125000</v>
      </c>
      <c r="W376" s="115">
        <f t="shared" si="270"/>
        <v>965000</v>
      </c>
      <c r="X376" s="120">
        <f t="shared" si="270"/>
        <v>0</v>
      </c>
      <c r="Y376" s="120">
        <f t="shared" si="270"/>
        <v>0</v>
      </c>
      <c r="Z376" s="120">
        <f t="shared" si="270"/>
        <v>0</v>
      </c>
      <c r="AA376" s="120">
        <f t="shared" si="270"/>
        <v>507500</v>
      </c>
      <c r="AB376" s="117">
        <f t="shared" si="270"/>
        <v>457500</v>
      </c>
      <c r="AC376" s="115">
        <f t="shared" si="270"/>
        <v>5160000</v>
      </c>
      <c r="AD376" s="120">
        <f t="shared" si="270"/>
        <v>0</v>
      </c>
      <c r="AE376" s="120">
        <f t="shared" si="270"/>
        <v>0</v>
      </c>
      <c r="AF376" s="116">
        <f t="shared" si="270"/>
        <v>0</v>
      </c>
      <c r="AG376" s="116">
        <f t="shared" si="270"/>
        <v>4653500</v>
      </c>
      <c r="AH376" s="117">
        <f t="shared" si="270"/>
        <v>506500</v>
      </c>
      <c r="AI376" s="47">
        <f t="shared" si="270"/>
        <v>0</v>
      </c>
      <c r="AJ376" s="10">
        <f t="shared" si="270"/>
        <v>0</v>
      </c>
      <c r="AK376" s="10">
        <f t="shared" si="270"/>
        <v>0</v>
      </c>
      <c r="AL376" s="10">
        <f t="shared" si="270"/>
        <v>5161000</v>
      </c>
      <c r="AM376" s="48">
        <f t="shared" si="270"/>
        <v>964000</v>
      </c>
      <c r="AN376" s="52">
        <f t="shared" si="270"/>
        <v>6125000</v>
      </c>
      <c r="AO376" s="39">
        <f t="shared" si="270"/>
        <v>0</v>
      </c>
      <c r="AP376" s="10">
        <f t="shared" si="270"/>
        <v>0</v>
      </c>
      <c r="AQ376" s="10">
        <f t="shared" si="270"/>
        <v>0</v>
      </c>
      <c r="AR376" s="10">
        <f t="shared" si="270"/>
        <v>0</v>
      </c>
      <c r="AS376" s="10">
        <f t="shared" si="270"/>
        <v>0</v>
      </c>
      <c r="AT376" s="10">
        <f t="shared" si="270"/>
        <v>0</v>
      </c>
      <c r="AU376" s="10">
        <f t="shared" si="270"/>
        <v>0</v>
      </c>
      <c r="AV376" s="10">
        <f t="shared" si="270"/>
        <v>0</v>
      </c>
      <c r="AW376" s="10">
        <f t="shared" ref="AW376:AW425" si="271">AP376-AQ376-AV376</f>
        <v>0</v>
      </c>
      <c r="AY376" s="11">
        <f t="shared" si="260"/>
        <v>0</v>
      </c>
    </row>
    <row r="377" spans="5:51" ht="60" customHeight="1" x14ac:dyDescent="0.2">
      <c r="E377" s="151">
        <v>41400</v>
      </c>
      <c r="F377" s="155" t="s">
        <v>193</v>
      </c>
      <c r="G377" s="156"/>
      <c r="H377" s="157"/>
      <c r="I377" s="158"/>
      <c r="J377" s="159"/>
      <c r="K377" s="158"/>
      <c r="L377" s="159"/>
      <c r="M377" s="158"/>
      <c r="N377" s="159"/>
      <c r="O377" s="158"/>
      <c r="P377" s="159"/>
      <c r="Q377" s="158"/>
      <c r="R377" s="159"/>
      <c r="S377" s="156"/>
      <c r="T377" s="160"/>
      <c r="U377" s="157"/>
      <c r="V377" s="161"/>
      <c r="W377" s="158"/>
      <c r="X377" s="160"/>
      <c r="Y377" s="160"/>
      <c r="Z377" s="160"/>
      <c r="AA377" s="160"/>
      <c r="AB377" s="159"/>
      <c r="AC377" s="158"/>
      <c r="AD377" s="160"/>
      <c r="AE377" s="160"/>
      <c r="AF377" s="157"/>
      <c r="AG377" s="157"/>
      <c r="AH377" s="159"/>
      <c r="AI377" s="45"/>
      <c r="AJ377" s="9"/>
      <c r="AK377" s="9"/>
      <c r="AL377" s="14"/>
      <c r="AM377" s="46"/>
      <c r="AN377" s="50"/>
      <c r="AO377" s="36"/>
      <c r="AP377" s="9"/>
      <c r="AQ377" s="9"/>
      <c r="AR377" s="9"/>
      <c r="AS377" s="9"/>
      <c r="AT377" s="9"/>
      <c r="AU377" s="9"/>
      <c r="AV377" s="9"/>
      <c r="AW377" s="10">
        <f t="shared" si="271"/>
        <v>0</v>
      </c>
      <c r="AY377" s="11">
        <f t="shared" si="260"/>
        <v>0</v>
      </c>
    </row>
    <row r="378" spans="5:51" ht="60" customHeight="1" x14ac:dyDescent="0.2">
      <c r="E378" s="151">
        <f>+E377+1</f>
        <v>41401</v>
      </c>
      <c r="F378" s="170" t="s">
        <v>194</v>
      </c>
      <c r="G378" s="156">
        <v>10000</v>
      </c>
      <c r="H378" s="157">
        <f>G378</f>
        <v>10000</v>
      </c>
      <c r="I378" s="158">
        <v>10000</v>
      </c>
      <c r="J378" s="159">
        <v>10000</v>
      </c>
      <c r="K378" s="158">
        <v>10000</v>
      </c>
      <c r="L378" s="159">
        <v>10000</v>
      </c>
      <c r="M378" s="158">
        <v>10000</v>
      </c>
      <c r="N378" s="159">
        <v>10000</v>
      </c>
      <c r="O378" s="158">
        <v>10000</v>
      </c>
      <c r="P378" s="159">
        <v>10000</v>
      </c>
      <c r="Q378" s="165">
        <f t="shared" ref="Q378:R380" si="272">O378-M378</f>
        <v>0</v>
      </c>
      <c r="R378" s="166">
        <f t="shared" si="272"/>
        <v>0</v>
      </c>
      <c r="S378" s="156">
        <v>12000</v>
      </c>
      <c r="T378" s="160"/>
      <c r="U378" s="164">
        <f>S378</f>
        <v>12000</v>
      </c>
      <c r="V378" s="161">
        <v>10000</v>
      </c>
      <c r="W378" s="158">
        <v>10000</v>
      </c>
      <c r="X378" s="160"/>
      <c r="Y378" s="160"/>
      <c r="Z378" s="160"/>
      <c r="AA378" s="160">
        <f>W378</f>
        <v>10000</v>
      </c>
      <c r="AB378" s="159"/>
      <c r="AC378" s="158">
        <f>V378-W378</f>
        <v>0</v>
      </c>
      <c r="AD378" s="160"/>
      <c r="AE378" s="160"/>
      <c r="AF378" s="157"/>
      <c r="AG378" s="157"/>
      <c r="AH378" s="159"/>
      <c r="AI378" s="35">
        <f t="shared" ref="AI378:AM380" si="273">AD378+X378</f>
        <v>0</v>
      </c>
      <c r="AJ378" s="11">
        <f t="shared" si="273"/>
        <v>0</v>
      </c>
      <c r="AK378" s="11">
        <f t="shared" si="273"/>
        <v>0</v>
      </c>
      <c r="AL378" s="11">
        <f t="shared" si="273"/>
        <v>10000</v>
      </c>
      <c r="AM378" s="76">
        <f t="shared" si="273"/>
        <v>0</v>
      </c>
      <c r="AN378" s="51">
        <f>SUM(AJ378:AM378)</f>
        <v>10000</v>
      </c>
      <c r="AO378" s="36"/>
      <c r="AP378" s="9"/>
      <c r="AQ378" s="9"/>
      <c r="AR378" s="9"/>
      <c r="AS378" s="9"/>
      <c r="AT378" s="9"/>
      <c r="AU378" s="9"/>
      <c r="AV378" s="9">
        <f>AU378+AT378+AS378+AR378</f>
        <v>0</v>
      </c>
      <c r="AW378" s="10">
        <f t="shared" si="271"/>
        <v>0</v>
      </c>
      <c r="AY378" s="11">
        <f t="shared" si="260"/>
        <v>0</v>
      </c>
    </row>
    <row r="379" spans="5:51" ht="60" customHeight="1" x14ac:dyDescent="0.2">
      <c r="E379" s="151">
        <f>+E378+1</f>
        <v>41402</v>
      </c>
      <c r="F379" s="170" t="s">
        <v>476</v>
      </c>
      <c r="G379" s="156"/>
      <c r="H379" s="157"/>
      <c r="I379" s="158"/>
      <c r="J379" s="159"/>
      <c r="K379" s="158"/>
      <c r="L379" s="159"/>
      <c r="M379" s="158"/>
      <c r="N379" s="159"/>
      <c r="O379" s="158"/>
      <c r="P379" s="159"/>
      <c r="Q379" s="165"/>
      <c r="R379" s="166"/>
      <c r="S379" s="156"/>
      <c r="T379" s="160"/>
      <c r="U379" s="164"/>
      <c r="V379" s="161">
        <v>50000</v>
      </c>
      <c r="W379" s="158">
        <v>0</v>
      </c>
      <c r="X379" s="160"/>
      <c r="Y379" s="160">
        <f>W379</f>
        <v>0</v>
      </c>
      <c r="Z379" s="160"/>
      <c r="AA379" s="160"/>
      <c r="AB379" s="159"/>
      <c r="AC379" s="158">
        <f>V379-W379</f>
        <v>50000</v>
      </c>
      <c r="AD379" s="160"/>
      <c r="AE379" s="160"/>
      <c r="AF379" s="157"/>
      <c r="AG379" s="157">
        <f>AC379</f>
        <v>50000</v>
      </c>
      <c r="AH379" s="159"/>
      <c r="AI379" s="35">
        <f t="shared" si="273"/>
        <v>0</v>
      </c>
      <c r="AJ379" s="11">
        <f t="shared" si="273"/>
        <v>0</v>
      </c>
      <c r="AK379" s="11">
        <f t="shared" si="273"/>
        <v>0</v>
      </c>
      <c r="AL379" s="11">
        <f t="shared" si="273"/>
        <v>50000</v>
      </c>
      <c r="AM379" s="76">
        <f t="shared" si="273"/>
        <v>0</v>
      </c>
      <c r="AN379" s="51">
        <f>SUM(AJ379:AM379)</f>
        <v>50000</v>
      </c>
      <c r="AO379" s="36"/>
      <c r="AP379" s="9"/>
      <c r="AQ379" s="9"/>
      <c r="AR379" s="9"/>
      <c r="AS379" s="9"/>
      <c r="AT379" s="9"/>
      <c r="AU379" s="9"/>
      <c r="AV379" s="9"/>
      <c r="AW379" s="10"/>
      <c r="AY379" s="11"/>
    </row>
    <row r="380" spans="5:51" ht="60" customHeight="1" x14ac:dyDescent="0.2">
      <c r="E380" s="151">
        <f>+E379+1</f>
        <v>41403</v>
      </c>
      <c r="F380" s="170" t="s">
        <v>357</v>
      </c>
      <c r="G380" s="156"/>
      <c r="H380" s="157"/>
      <c r="I380" s="158"/>
      <c r="J380" s="159"/>
      <c r="K380" s="158"/>
      <c r="L380" s="159"/>
      <c r="M380" s="158"/>
      <c r="N380" s="159"/>
      <c r="O380" s="158">
        <v>480000</v>
      </c>
      <c r="P380" s="159"/>
      <c r="Q380" s="165">
        <f t="shared" si="272"/>
        <v>480000</v>
      </c>
      <c r="R380" s="166">
        <f t="shared" si="272"/>
        <v>0</v>
      </c>
      <c r="S380" s="156"/>
      <c r="T380" s="160"/>
      <c r="U380" s="157"/>
      <c r="V380" s="161">
        <v>480000</v>
      </c>
      <c r="W380" s="158">
        <f>V380</f>
        <v>480000</v>
      </c>
      <c r="X380" s="160"/>
      <c r="Y380" s="160"/>
      <c r="Z380" s="160"/>
      <c r="AA380" s="160">
        <f>W380</f>
        <v>480000</v>
      </c>
      <c r="AB380" s="159"/>
      <c r="AC380" s="158">
        <f>V380-W380</f>
        <v>0</v>
      </c>
      <c r="AD380" s="160"/>
      <c r="AE380" s="160"/>
      <c r="AF380" s="157"/>
      <c r="AG380" s="157">
        <f>AC380</f>
        <v>0</v>
      </c>
      <c r="AH380" s="159"/>
      <c r="AI380" s="35">
        <f t="shared" si="273"/>
        <v>0</v>
      </c>
      <c r="AJ380" s="11">
        <f t="shared" si="273"/>
        <v>0</v>
      </c>
      <c r="AK380" s="11">
        <f t="shared" si="273"/>
        <v>0</v>
      </c>
      <c r="AL380" s="11">
        <f t="shared" si="273"/>
        <v>480000</v>
      </c>
      <c r="AM380" s="76">
        <f t="shared" si="273"/>
        <v>0</v>
      </c>
      <c r="AN380" s="51">
        <f>SUM(AJ380:AM380)</f>
        <v>480000</v>
      </c>
      <c r="AO380" s="36"/>
      <c r="AP380" s="9"/>
      <c r="AQ380" s="9"/>
      <c r="AR380" s="9"/>
      <c r="AS380" s="9"/>
      <c r="AT380" s="9"/>
      <c r="AU380" s="9"/>
      <c r="AV380" s="9">
        <f>AU380+AT380+AS380+AR380</f>
        <v>0</v>
      </c>
      <c r="AW380" s="10">
        <f t="shared" si="271"/>
        <v>0</v>
      </c>
      <c r="AY380" s="11">
        <f t="shared" ref="AY380:AY386" si="274">V380-W380-AC380</f>
        <v>0</v>
      </c>
    </row>
    <row r="381" spans="5:51" ht="60" customHeight="1" x14ac:dyDescent="0.2">
      <c r="E381" s="149"/>
      <c r="F381" s="127" t="s">
        <v>195</v>
      </c>
      <c r="G381" s="118">
        <f t="shared" ref="G381:AV381" si="275">SUM(G378:G380)</f>
        <v>10000</v>
      </c>
      <c r="H381" s="116">
        <f t="shared" si="275"/>
        <v>10000</v>
      </c>
      <c r="I381" s="115">
        <f t="shared" si="275"/>
        <v>10000</v>
      </c>
      <c r="J381" s="117">
        <f t="shared" si="275"/>
        <v>10000</v>
      </c>
      <c r="K381" s="115">
        <f t="shared" si="275"/>
        <v>10000</v>
      </c>
      <c r="L381" s="117">
        <f t="shared" si="275"/>
        <v>10000</v>
      </c>
      <c r="M381" s="115">
        <f t="shared" si="275"/>
        <v>10000</v>
      </c>
      <c r="N381" s="117">
        <f t="shared" si="275"/>
        <v>10000</v>
      </c>
      <c r="O381" s="115">
        <f t="shared" si="275"/>
        <v>490000</v>
      </c>
      <c r="P381" s="117">
        <f t="shared" si="275"/>
        <v>10000</v>
      </c>
      <c r="Q381" s="115">
        <f t="shared" si="275"/>
        <v>480000</v>
      </c>
      <c r="R381" s="117">
        <f t="shared" si="275"/>
        <v>0</v>
      </c>
      <c r="S381" s="118">
        <f t="shared" si="275"/>
        <v>12000</v>
      </c>
      <c r="T381" s="120">
        <f t="shared" si="275"/>
        <v>0</v>
      </c>
      <c r="U381" s="116">
        <f t="shared" si="275"/>
        <v>12000</v>
      </c>
      <c r="V381" s="119">
        <f t="shared" si="275"/>
        <v>540000</v>
      </c>
      <c r="W381" s="115">
        <f t="shared" si="275"/>
        <v>490000</v>
      </c>
      <c r="X381" s="120">
        <f t="shared" si="275"/>
        <v>0</v>
      </c>
      <c r="Y381" s="120">
        <f t="shared" si="275"/>
        <v>0</v>
      </c>
      <c r="Z381" s="120">
        <f t="shared" si="275"/>
        <v>0</v>
      </c>
      <c r="AA381" s="120">
        <f t="shared" si="275"/>
        <v>490000</v>
      </c>
      <c r="AB381" s="117">
        <f t="shared" si="275"/>
        <v>0</v>
      </c>
      <c r="AC381" s="115">
        <f t="shared" si="275"/>
        <v>50000</v>
      </c>
      <c r="AD381" s="120">
        <f t="shared" si="275"/>
        <v>0</v>
      </c>
      <c r="AE381" s="120">
        <f t="shared" si="275"/>
        <v>0</v>
      </c>
      <c r="AF381" s="116">
        <f t="shared" si="275"/>
        <v>0</v>
      </c>
      <c r="AG381" s="116">
        <f t="shared" si="275"/>
        <v>50000</v>
      </c>
      <c r="AH381" s="117">
        <f t="shared" si="275"/>
        <v>0</v>
      </c>
      <c r="AI381" s="47">
        <f t="shared" si="275"/>
        <v>0</v>
      </c>
      <c r="AJ381" s="10">
        <f t="shared" si="275"/>
        <v>0</v>
      </c>
      <c r="AK381" s="10">
        <f t="shared" si="275"/>
        <v>0</v>
      </c>
      <c r="AL381" s="10">
        <f t="shared" si="275"/>
        <v>540000</v>
      </c>
      <c r="AM381" s="48">
        <f t="shared" si="275"/>
        <v>0</v>
      </c>
      <c r="AN381" s="52">
        <f t="shared" si="275"/>
        <v>540000</v>
      </c>
      <c r="AO381" s="39">
        <f t="shared" si="275"/>
        <v>0</v>
      </c>
      <c r="AP381" s="10">
        <f t="shared" si="275"/>
        <v>0</v>
      </c>
      <c r="AQ381" s="10">
        <f t="shared" si="275"/>
        <v>0</v>
      </c>
      <c r="AR381" s="10">
        <f t="shared" si="275"/>
        <v>0</v>
      </c>
      <c r="AS381" s="10">
        <f t="shared" si="275"/>
        <v>0</v>
      </c>
      <c r="AT381" s="10">
        <f t="shared" si="275"/>
        <v>0</v>
      </c>
      <c r="AU381" s="10">
        <f t="shared" si="275"/>
        <v>0</v>
      </c>
      <c r="AV381" s="10">
        <f t="shared" si="275"/>
        <v>0</v>
      </c>
      <c r="AW381" s="10">
        <f t="shared" si="271"/>
        <v>0</v>
      </c>
      <c r="AY381" s="11">
        <f t="shared" si="274"/>
        <v>0</v>
      </c>
    </row>
    <row r="382" spans="5:51" ht="60" customHeight="1" x14ac:dyDescent="0.2">
      <c r="E382" s="151">
        <v>41500</v>
      </c>
      <c r="F382" s="155" t="s">
        <v>196</v>
      </c>
      <c r="G382" s="156"/>
      <c r="H382" s="157"/>
      <c r="I382" s="158"/>
      <c r="J382" s="159"/>
      <c r="K382" s="158"/>
      <c r="L382" s="159"/>
      <c r="M382" s="158"/>
      <c r="N382" s="159"/>
      <c r="O382" s="158"/>
      <c r="P382" s="159"/>
      <c r="Q382" s="158"/>
      <c r="R382" s="159"/>
      <c r="S382" s="156"/>
      <c r="T382" s="160"/>
      <c r="U382" s="157"/>
      <c r="V382" s="161"/>
      <c r="W382" s="158"/>
      <c r="X382" s="160"/>
      <c r="Y382" s="160"/>
      <c r="Z382" s="160"/>
      <c r="AA382" s="160"/>
      <c r="AB382" s="159"/>
      <c r="AC382" s="158"/>
      <c r="AD382" s="160"/>
      <c r="AE382" s="160"/>
      <c r="AF382" s="157"/>
      <c r="AG382" s="157"/>
      <c r="AH382" s="159"/>
      <c r="AI382" s="45"/>
      <c r="AJ382" s="9"/>
      <c r="AK382" s="9"/>
      <c r="AL382" s="9"/>
      <c r="AM382" s="46"/>
      <c r="AN382" s="50"/>
      <c r="AO382" s="36"/>
      <c r="AP382" s="9"/>
      <c r="AQ382" s="9"/>
      <c r="AR382" s="9"/>
      <c r="AS382" s="9"/>
      <c r="AT382" s="9"/>
      <c r="AU382" s="9"/>
      <c r="AV382" s="9"/>
      <c r="AW382" s="10">
        <f t="shared" si="271"/>
        <v>0</v>
      </c>
      <c r="AY382" s="11">
        <f t="shared" si="274"/>
        <v>0</v>
      </c>
    </row>
    <row r="383" spans="5:51" ht="60" customHeight="1" x14ac:dyDescent="0.2">
      <c r="E383" s="151">
        <f t="shared" ref="E383:E394" si="276">+E382+1</f>
        <v>41501</v>
      </c>
      <c r="F383" s="162" t="s">
        <v>197</v>
      </c>
      <c r="G383" s="156">
        <v>2500000</v>
      </c>
      <c r="H383" s="157"/>
      <c r="I383" s="158">
        <v>6071000</v>
      </c>
      <c r="J383" s="159">
        <v>6070155</v>
      </c>
      <c r="K383" s="158">
        <v>4000000</v>
      </c>
      <c r="L383" s="159">
        <v>249867</v>
      </c>
      <c r="M383" s="158">
        <v>4400000</v>
      </c>
      <c r="N383" s="159">
        <v>890000</v>
      </c>
      <c r="O383" s="158">
        <v>1426000</v>
      </c>
      <c r="P383" s="159">
        <f>1426000-173</f>
        <v>1425827</v>
      </c>
      <c r="Q383" s="165">
        <f>O383-M383</f>
        <v>-2974000</v>
      </c>
      <c r="R383" s="166">
        <f>P383-N383</f>
        <v>535827</v>
      </c>
      <c r="S383" s="156">
        <v>2267000</v>
      </c>
      <c r="T383" s="160">
        <f>S383*0.7</f>
        <v>1586900</v>
      </c>
      <c r="U383" s="164">
        <f>S383-T383</f>
        <v>680100</v>
      </c>
      <c r="V383" s="161">
        <v>500000</v>
      </c>
      <c r="W383" s="158">
        <f>V383</f>
        <v>500000</v>
      </c>
      <c r="X383" s="160">
        <f>W383*0.7</f>
        <v>350000</v>
      </c>
      <c r="Y383" s="160">
        <f>W383-X383</f>
        <v>150000</v>
      </c>
      <c r="Z383" s="160"/>
      <c r="AA383" s="160"/>
      <c r="AB383" s="159"/>
      <c r="AC383" s="158">
        <f t="shared" ref="AC383:AC393" si="277">V383-W383</f>
        <v>0</v>
      </c>
      <c r="AD383" s="160"/>
      <c r="AE383" s="160"/>
      <c r="AF383" s="157"/>
      <c r="AG383" s="157"/>
      <c r="AH383" s="159"/>
      <c r="AI383" s="35">
        <f t="shared" ref="AI383:AI394" si="278">AD383+X383</f>
        <v>350000</v>
      </c>
      <c r="AJ383" s="11">
        <f t="shared" ref="AJ383:AJ394" si="279">AE383+Y383</f>
        <v>150000</v>
      </c>
      <c r="AK383" s="11">
        <f t="shared" ref="AK383:AK394" si="280">AF383+Z383</f>
        <v>0</v>
      </c>
      <c r="AL383" s="11">
        <f t="shared" ref="AL383:AL394" si="281">AG383+AA383</f>
        <v>0</v>
      </c>
      <c r="AM383" s="76">
        <f t="shared" ref="AM383:AM394" si="282">AH383+AB383</f>
        <v>0</v>
      </c>
      <c r="AN383" s="51">
        <f t="shared" ref="AN383:AN394" si="283">SUM(AJ383:AM383)</f>
        <v>150000</v>
      </c>
      <c r="AO383" s="36"/>
      <c r="AP383" s="9"/>
      <c r="AQ383" s="9"/>
      <c r="AR383" s="9"/>
      <c r="AS383" s="9"/>
      <c r="AT383" s="9"/>
      <c r="AU383" s="9"/>
      <c r="AV383" s="9">
        <f>AU383+AT383+AS383+AR383</f>
        <v>0</v>
      </c>
      <c r="AW383" s="10">
        <f t="shared" si="271"/>
        <v>0</v>
      </c>
      <c r="AY383" s="11">
        <f t="shared" si="274"/>
        <v>0</v>
      </c>
    </row>
    <row r="384" spans="5:51" ht="60" customHeight="1" x14ac:dyDescent="0.2">
      <c r="E384" s="151">
        <f t="shared" si="276"/>
        <v>41502</v>
      </c>
      <c r="F384" s="170" t="s">
        <v>198</v>
      </c>
      <c r="G384" s="156"/>
      <c r="H384" s="157"/>
      <c r="I384" s="158"/>
      <c r="J384" s="159"/>
      <c r="K384" s="158"/>
      <c r="L384" s="159"/>
      <c r="M384" s="158"/>
      <c r="N384" s="159"/>
      <c r="O384" s="158"/>
      <c r="P384" s="159"/>
      <c r="Q384" s="165">
        <f t="shared" ref="Q384:R392" si="284">O384-M384</f>
        <v>0</v>
      </c>
      <c r="R384" s="166">
        <f t="shared" si="284"/>
        <v>0</v>
      </c>
      <c r="S384" s="156">
        <v>447000</v>
      </c>
      <c r="T384" s="160">
        <f>S384*0.7</f>
        <v>312900</v>
      </c>
      <c r="U384" s="164">
        <f>S384-T384</f>
        <v>134100</v>
      </c>
      <c r="V384" s="161">
        <v>1600000</v>
      </c>
      <c r="W384" s="158">
        <v>1600000</v>
      </c>
      <c r="X384" s="160">
        <f>W384*0.7</f>
        <v>1120000</v>
      </c>
      <c r="Y384" s="160">
        <f t="shared" ref="Y384:Y390" si="285">W384-X384</f>
        <v>480000</v>
      </c>
      <c r="Z384" s="160"/>
      <c r="AA384" s="160"/>
      <c r="AB384" s="159"/>
      <c r="AC384" s="158">
        <f t="shared" si="277"/>
        <v>0</v>
      </c>
      <c r="AD384" s="160">
        <f>AC384*0.7</f>
        <v>0</v>
      </c>
      <c r="AE384" s="160"/>
      <c r="AF384" s="157"/>
      <c r="AG384" s="157"/>
      <c r="AH384" s="159">
        <f>AC384*0.3</f>
        <v>0</v>
      </c>
      <c r="AI384" s="35">
        <f t="shared" si="278"/>
        <v>1120000</v>
      </c>
      <c r="AJ384" s="11">
        <f t="shared" si="279"/>
        <v>480000</v>
      </c>
      <c r="AK384" s="11">
        <f t="shared" si="280"/>
        <v>0</v>
      </c>
      <c r="AL384" s="11">
        <f t="shared" si="281"/>
        <v>0</v>
      </c>
      <c r="AM384" s="76">
        <f t="shared" si="282"/>
        <v>0</v>
      </c>
      <c r="AN384" s="51">
        <f t="shared" si="283"/>
        <v>480000</v>
      </c>
      <c r="AO384" s="36"/>
      <c r="AP384" s="9"/>
      <c r="AQ384" s="9"/>
      <c r="AR384" s="9"/>
      <c r="AS384" s="9"/>
      <c r="AT384" s="9"/>
      <c r="AU384" s="9"/>
      <c r="AV384" s="9">
        <f>AU384+AT384+AS384+AR384</f>
        <v>0</v>
      </c>
      <c r="AW384" s="10">
        <f t="shared" si="271"/>
        <v>0</v>
      </c>
      <c r="AY384" s="11">
        <f t="shared" si="274"/>
        <v>0</v>
      </c>
    </row>
    <row r="385" spans="5:51" ht="60" customHeight="1" x14ac:dyDescent="0.2">
      <c r="E385" s="151">
        <f t="shared" si="276"/>
        <v>41503</v>
      </c>
      <c r="F385" s="162" t="s">
        <v>199</v>
      </c>
      <c r="G385" s="156"/>
      <c r="H385" s="157"/>
      <c r="I385" s="158"/>
      <c r="J385" s="159"/>
      <c r="K385" s="158">
        <v>2000000</v>
      </c>
      <c r="L385" s="159"/>
      <c r="M385" s="158">
        <v>1900000</v>
      </c>
      <c r="N385" s="159">
        <v>1865714</v>
      </c>
      <c r="O385" s="158">
        <v>944000</v>
      </c>
      <c r="P385" s="159">
        <f>263250+351000+328536</f>
        <v>942786</v>
      </c>
      <c r="Q385" s="165">
        <f t="shared" si="284"/>
        <v>-956000</v>
      </c>
      <c r="R385" s="166">
        <f t="shared" si="284"/>
        <v>-922928</v>
      </c>
      <c r="S385" s="156">
        <v>1039000</v>
      </c>
      <c r="T385" s="160">
        <f>302454+515833</f>
        <v>818287</v>
      </c>
      <c r="U385" s="164">
        <f>S385-T385</f>
        <v>220713</v>
      </c>
      <c r="V385" s="161">
        <v>1500000</v>
      </c>
      <c r="W385" s="158">
        <v>1500000</v>
      </c>
      <c r="X385" s="160">
        <f t="shared" ref="X385:X393" si="286">W385*0.7</f>
        <v>1050000</v>
      </c>
      <c r="Y385" s="160">
        <f t="shared" si="285"/>
        <v>450000</v>
      </c>
      <c r="Z385" s="160"/>
      <c r="AA385" s="160"/>
      <c r="AB385" s="159"/>
      <c r="AC385" s="158">
        <f t="shared" si="277"/>
        <v>0</v>
      </c>
      <c r="AD385" s="160">
        <f t="shared" ref="AD385:AD393" si="287">AC385*0.7</f>
        <v>0</v>
      </c>
      <c r="AE385" s="160"/>
      <c r="AF385" s="157"/>
      <c r="AG385" s="157"/>
      <c r="AH385" s="159">
        <f t="shared" ref="AH385:AH393" si="288">AC385*0.3</f>
        <v>0</v>
      </c>
      <c r="AI385" s="35">
        <f t="shared" si="278"/>
        <v>1050000</v>
      </c>
      <c r="AJ385" s="11">
        <f t="shared" si="279"/>
        <v>450000</v>
      </c>
      <c r="AK385" s="11">
        <f t="shared" si="280"/>
        <v>0</v>
      </c>
      <c r="AL385" s="11">
        <f t="shared" si="281"/>
        <v>0</v>
      </c>
      <c r="AM385" s="76">
        <f t="shared" si="282"/>
        <v>0</v>
      </c>
      <c r="AN385" s="51">
        <f t="shared" si="283"/>
        <v>450000</v>
      </c>
      <c r="AO385" s="36"/>
      <c r="AP385" s="9"/>
      <c r="AQ385" s="9"/>
      <c r="AR385" s="9"/>
      <c r="AS385" s="9"/>
      <c r="AT385" s="9"/>
      <c r="AU385" s="9"/>
      <c r="AV385" s="9">
        <f>AU385+AT385+AS385+AR385</f>
        <v>0</v>
      </c>
      <c r="AW385" s="10">
        <f t="shared" si="271"/>
        <v>0</v>
      </c>
      <c r="AY385" s="11">
        <f t="shared" si="274"/>
        <v>0</v>
      </c>
    </row>
    <row r="386" spans="5:51" ht="60" customHeight="1" x14ac:dyDescent="0.2">
      <c r="E386" s="151">
        <f t="shared" si="276"/>
        <v>41504</v>
      </c>
      <c r="F386" s="170" t="s">
        <v>335</v>
      </c>
      <c r="G386" s="156"/>
      <c r="H386" s="157"/>
      <c r="I386" s="158"/>
      <c r="J386" s="159"/>
      <c r="K386" s="158"/>
      <c r="L386" s="159"/>
      <c r="M386" s="158">
        <v>3000000</v>
      </c>
      <c r="N386" s="159">
        <f>3000000-2090000</f>
        <v>910000</v>
      </c>
      <c r="O386" s="158">
        <v>4331000</v>
      </c>
      <c r="P386" s="159">
        <f>3830529+500000</f>
        <v>4330529</v>
      </c>
      <c r="Q386" s="165">
        <f t="shared" si="284"/>
        <v>1331000</v>
      </c>
      <c r="R386" s="166">
        <f t="shared" si="284"/>
        <v>3420529</v>
      </c>
      <c r="S386" s="156">
        <v>2594000</v>
      </c>
      <c r="T386" s="160">
        <f>S386*0.7</f>
        <v>1815800</v>
      </c>
      <c r="U386" s="164">
        <f>S386-T386</f>
        <v>778200</v>
      </c>
      <c r="V386" s="161">
        <v>20000000</v>
      </c>
      <c r="W386" s="158">
        <v>20000000</v>
      </c>
      <c r="X386" s="160">
        <f t="shared" si="286"/>
        <v>14000000</v>
      </c>
      <c r="Y386" s="160">
        <f t="shared" si="285"/>
        <v>6000000</v>
      </c>
      <c r="Z386" s="160"/>
      <c r="AA386" s="160"/>
      <c r="AB386" s="159"/>
      <c r="AC386" s="158">
        <f t="shared" si="277"/>
        <v>0</v>
      </c>
      <c r="AD386" s="160">
        <f t="shared" si="287"/>
        <v>0</v>
      </c>
      <c r="AE386" s="160"/>
      <c r="AF386" s="157"/>
      <c r="AG386" s="157"/>
      <c r="AH386" s="159">
        <f t="shared" si="288"/>
        <v>0</v>
      </c>
      <c r="AI386" s="35">
        <f t="shared" si="278"/>
        <v>14000000</v>
      </c>
      <c r="AJ386" s="11">
        <f t="shared" si="279"/>
        <v>6000000</v>
      </c>
      <c r="AK386" s="11">
        <f t="shared" si="280"/>
        <v>0</v>
      </c>
      <c r="AL386" s="11">
        <f t="shared" si="281"/>
        <v>0</v>
      </c>
      <c r="AM386" s="76">
        <f t="shared" si="282"/>
        <v>0</v>
      </c>
      <c r="AN386" s="51">
        <f t="shared" si="283"/>
        <v>6000000</v>
      </c>
      <c r="AO386" s="36"/>
      <c r="AP386" s="9"/>
      <c r="AQ386" s="9"/>
      <c r="AR386" s="9"/>
      <c r="AS386" s="9"/>
      <c r="AT386" s="9"/>
      <c r="AU386" s="9"/>
      <c r="AV386" s="9"/>
      <c r="AW386" s="10"/>
      <c r="AY386" s="11">
        <f t="shared" si="274"/>
        <v>0</v>
      </c>
    </row>
    <row r="387" spans="5:51" ht="60" customHeight="1" x14ac:dyDescent="0.2">
      <c r="E387" s="151">
        <f t="shared" si="276"/>
        <v>41505</v>
      </c>
      <c r="F387" s="170" t="s">
        <v>518</v>
      </c>
      <c r="G387" s="156"/>
      <c r="H387" s="157"/>
      <c r="I387" s="158"/>
      <c r="J387" s="159"/>
      <c r="K387" s="158"/>
      <c r="L387" s="159"/>
      <c r="M387" s="158"/>
      <c r="N387" s="159"/>
      <c r="O387" s="158"/>
      <c r="P387" s="159"/>
      <c r="Q387" s="165"/>
      <c r="R387" s="166"/>
      <c r="S387" s="156"/>
      <c r="T387" s="160"/>
      <c r="U387" s="164"/>
      <c r="V387" s="161">
        <v>3000000</v>
      </c>
      <c r="W387" s="158">
        <v>3000000</v>
      </c>
      <c r="X387" s="160">
        <f t="shared" si="286"/>
        <v>2100000</v>
      </c>
      <c r="Y387" s="160">
        <f t="shared" si="285"/>
        <v>900000</v>
      </c>
      <c r="Z387" s="160"/>
      <c r="AA387" s="160"/>
      <c r="AB387" s="159"/>
      <c r="AC387" s="158">
        <f t="shared" si="277"/>
        <v>0</v>
      </c>
      <c r="AD387" s="160">
        <f t="shared" si="287"/>
        <v>0</v>
      </c>
      <c r="AE387" s="160"/>
      <c r="AF387" s="157"/>
      <c r="AG387" s="157"/>
      <c r="AH387" s="159">
        <f t="shared" si="288"/>
        <v>0</v>
      </c>
      <c r="AI387" s="35">
        <f t="shared" si="278"/>
        <v>2100000</v>
      </c>
      <c r="AJ387" s="11">
        <f t="shared" si="279"/>
        <v>900000</v>
      </c>
      <c r="AK387" s="11">
        <f t="shared" si="280"/>
        <v>0</v>
      </c>
      <c r="AL387" s="11">
        <f t="shared" si="281"/>
        <v>0</v>
      </c>
      <c r="AM387" s="76">
        <f t="shared" si="282"/>
        <v>0</v>
      </c>
      <c r="AN387" s="51">
        <f t="shared" si="283"/>
        <v>900000</v>
      </c>
      <c r="AO387" s="36"/>
      <c r="AP387" s="9"/>
      <c r="AQ387" s="9"/>
      <c r="AR387" s="9"/>
      <c r="AS387" s="9"/>
      <c r="AT387" s="9"/>
      <c r="AU387" s="9"/>
      <c r="AV387" s="9"/>
      <c r="AW387" s="10"/>
      <c r="AY387" s="11"/>
    </row>
    <row r="388" spans="5:51" ht="60" customHeight="1" x14ac:dyDescent="0.2">
      <c r="E388" s="151">
        <f t="shared" si="276"/>
        <v>41506</v>
      </c>
      <c r="F388" s="170" t="s">
        <v>519</v>
      </c>
      <c r="G388" s="156"/>
      <c r="H388" s="157"/>
      <c r="I388" s="158"/>
      <c r="J388" s="159"/>
      <c r="K388" s="158"/>
      <c r="L388" s="159"/>
      <c r="M388" s="158"/>
      <c r="N388" s="159"/>
      <c r="O388" s="158"/>
      <c r="P388" s="159"/>
      <c r="Q388" s="165"/>
      <c r="R388" s="166"/>
      <c r="S388" s="156"/>
      <c r="T388" s="160"/>
      <c r="U388" s="164"/>
      <c r="V388" s="161">
        <v>3000000</v>
      </c>
      <c r="W388" s="158">
        <v>3000000</v>
      </c>
      <c r="X388" s="160">
        <f t="shared" si="286"/>
        <v>2100000</v>
      </c>
      <c r="Y388" s="160">
        <f t="shared" si="285"/>
        <v>900000</v>
      </c>
      <c r="Z388" s="160"/>
      <c r="AA388" s="160"/>
      <c r="AB388" s="159"/>
      <c r="AC388" s="158">
        <f t="shared" si="277"/>
        <v>0</v>
      </c>
      <c r="AD388" s="160">
        <f t="shared" si="287"/>
        <v>0</v>
      </c>
      <c r="AE388" s="160"/>
      <c r="AF388" s="157"/>
      <c r="AG388" s="157"/>
      <c r="AH388" s="159">
        <f t="shared" si="288"/>
        <v>0</v>
      </c>
      <c r="AI388" s="35">
        <f t="shared" si="278"/>
        <v>2100000</v>
      </c>
      <c r="AJ388" s="11">
        <f t="shared" si="279"/>
        <v>900000</v>
      </c>
      <c r="AK388" s="11">
        <f t="shared" si="280"/>
        <v>0</v>
      </c>
      <c r="AL388" s="11">
        <f t="shared" si="281"/>
        <v>0</v>
      </c>
      <c r="AM388" s="76">
        <f t="shared" si="282"/>
        <v>0</v>
      </c>
      <c r="AN388" s="51">
        <f t="shared" si="283"/>
        <v>900000</v>
      </c>
      <c r="AO388" s="36"/>
      <c r="AP388" s="9"/>
      <c r="AQ388" s="9"/>
      <c r="AR388" s="9"/>
      <c r="AS388" s="9"/>
      <c r="AT388" s="9"/>
      <c r="AU388" s="9"/>
      <c r="AV388" s="9"/>
      <c r="AW388" s="10"/>
      <c r="AY388" s="11"/>
    </row>
    <row r="389" spans="5:51" ht="60" customHeight="1" x14ac:dyDescent="0.2">
      <c r="E389" s="151">
        <f t="shared" si="276"/>
        <v>41507</v>
      </c>
      <c r="F389" s="170" t="s">
        <v>527</v>
      </c>
      <c r="G389" s="156"/>
      <c r="H389" s="157"/>
      <c r="I389" s="158"/>
      <c r="J389" s="159"/>
      <c r="K389" s="158"/>
      <c r="L389" s="159"/>
      <c r="M389" s="158"/>
      <c r="N389" s="159"/>
      <c r="O389" s="158"/>
      <c r="P389" s="159"/>
      <c r="Q389" s="165"/>
      <c r="R389" s="166"/>
      <c r="S389" s="156"/>
      <c r="T389" s="160"/>
      <c r="U389" s="164"/>
      <c r="V389" s="161">
        <v>3000000</v>
      </c>
      <c r="W389" s="158">
        <v>3000000</v>
      </c>
      <c r="X389" s="160">
        <f t="shared" si="286"/>
        <v>2100000</v>
      </c>
      <c r="Y389" s="160">
        <f t="shared" si="285"/>
        <v>900000</v>
      </c>
      <c r="Z389" s="160"/>
      <c r="AA389" s="160"/>
      <c r="AB389" s="159"/>
      <c r="AC389" s="158">
        <f t="shared" si="277"/>
        <v>0</v>
      </c>
      <c r="AD389" s="160">
        <f t="shared" si="287"/>
        <v>0</v>
      </c>
      <c r="AE389" s="160"/>
      <c r="AF389" s="157"/>
      <c r="AG389" s="157"/>
      <c r="AH389" s="159">
        <f t="shared" si="288"/>
        <v>0</v>
      </c>
      <c r="AI389" s="35">
        <f t="shared" si="278"/>
        <v>2100000</v>
      </c>
      <c r="AJ389" s="11">
        <f t="shared" si="279"/>
        <v>900000</v>
      </c>
      <c r="AK389" s="11">
        <f t="shared" si="280"/>
        <v>0</v>
      </c>
      <c r="AL389" s="11">
        <f t="shared" si="281"/>
        <v>0</v>
      </c>
      <c r="AM389" s="76">
        <f t="shared" si="282"/>
        <v>0</v>
      </c>
      <c r="AN389" s="51">
        <f t="shared" si="283"/>
        <v>900000</v>
      </c>
      <c r="AO389" s="36"/>
      <c r="AP389" s="9"/>
      <c r="AQ389" s="9"/>
      <c r="AR389" s="9"/>
      <c r="AS389" s="9"/>
      <c r="AT389" s="9"/>
      <c r="AU389" s="9"/>
      <c r="AV389" s="9"/>
      <c r="AW389" s="10"/>
      <c r="AY389" s="11"/>
    </row>
    <row r="390" spans="5:51" ht="60" customHeight="1" x14ac:dyDescent="0.2">
      <c r="E390" s="151">
        <f t="shared" si="276"/>
        <v>41508</v>
      </c>
      <c r="F390" s="170" t="s">
        <v>520</v>
      </c>
      <c r="G390" s="156"/>
      <c r="H390" s="157"/>
      <c r="I390" s="158"/>
      <c r="J390" s="159"/>
      <c r="K390" s="158"/>
      <c r="L390" s="159"/>
      <c r="M390" s="158"/>
      <c r="N390" s="159"/>
      <c r="O390" s="158"/>
      <c r="P390" s="159"/>
      <c r="Q390" s="165"/>
      <c r="R390" s="166"/>
      <c r="S390" s="156"/>
      <c r="T390" s="160"/>
      <c r="U390" s="164"/>
      <c r="V390" s="161">
        <v>1500000</v>
      </c>
      <c r="W390" s="158">
        <v>1500000</v>
      </c>
      <c r="X390" s="160">
        <f t="shared" si="286"/>
        <v>1050000</v>
      </c>
      <c r="Y390" s="160">
        <f t="shared" si="285"/>
        <v>450000</v>
      </c>
      <c r="Z390" s="160"/>
      <c r="AA390" s="160"/>
      <c r="AB390" s="159"/>
      <c r="AC390" s="158">
        <f t="shared" si="277"/>
        <v>0</v>
      </c>
      <c r="AD390" s="160">
        <f t="shared" si="287"/>
        <v>0</v>
      </c>
      <c r="AE390" s="160"/>
      <c r="AF390" s="157"/>
      <c r="AG390" s="157"/>
      <c r="AH390" s="159">
        <f t="shared" si="288"/>
        <v>0</v>
      </c>
      <c r="AI390" s="35">
        <f t="shared" si="278"/>
        <v>1050000</v>
      </c>
      <c r="AJ390" s="11">
        <f t="shared" si="279"/>
        <v>450000</v>
      </c>
      <c r="AK390" s="11">
        <f t="shared" si="280"/>
        <v>0</v>
      </c>
      <c r="AL390" s="11">
        <f t="shared" si="281"/>
        <v>0</v>
      </c>
      <c r="AM390" s="76">
        <f t="shared" si="282"/>
        <v>0</v>
      </c>
      <c r="AN390" s="51">
        <f t="shared" si="283"/>
        <v>450000</v>
      </c>
      <c r="AO390" s="36"/>
      <c r="AP390" s="9"/>
      <c r="AQ390" s="9"/>
      <c r="AR390" s="9"/>
      <c r="AS390" s="9"/>
      <c r="AT390" s="9"/>
      <c r="AU390" s="9"/>
      <c r="AV390" s="9"/>
      <c r="AW390" s="10"/>
      <c r="AY390" s="11"/>
    </row>
    <row r="391" spans="5:51" ht="60" customHeight="1" x14ac:dyDescent="0.2">
      <c r="E391" s="151">
        <f t="shared" si="276"/>
        <v>41509</v>
      </c>
      <c r="F391" s="170" t="s">
        <v>378</v>
      </c>
      <c r="G391" s="156"/>
      <c r="H391" s="157"/>
      <c r="I391" s="158"/>
      <c r="J391" s="159"/>
      <c r="K391" s="158"/>
      <c r="L391" s="159"/>
      <c r="M391" s="158"/>
      <c r="N391" s="159"/>
      <c r="O391" s="158">
        <v>8000000</v>
      </c>
      <c r="P391" s="159">
        <v>6151075</v>
      </c>
      <c r="Q391" s="165">
        <f t="shared" si="284"/>
        <v>8000000</v>
      </c>
      <c r="R391" s="166">
        <f t="shared" si="284"/>
        <v>6151075</v>
      </c>
      <c r="S391" s="156">
        <v>6050000</v>
      </c>
      <c r="T391" s="160">
        <f>S391*0.7</f>
        <v>4235000</v>
      </c>
      <c r="U391" s="164">
        <f>S391-T391</f>
        <v>1815000</v>
      </c>
      <c r="V391" s="161">
        <v>3000000</v>
      </c>
      <c r="W391" s="158">
        <v>0</v>
      </c>
      <c r="X391" s="160"/>
      <c r="Y391" s="160"/>
      <c r="Z391" s="160">
        <f>W391</f>
        <v>0</v>
      </c>
      <c r="AA391" s="160"/>
      <c r="AB391" s="159"/>
      <c r="AC391" s="158">
        <f t="shared" si="277"/>
        <v>3000000</v>
      </c>
      <c r="AD391" s="160"/>
      <c r="AE391" s="160">
        <f>AC391</f>
        <v>3000000</v>
      </c>
      <c r="AF391" s="157"/>
      <c r="AG391" s="157"/>
      <c r="AH391" s="159"/>
      <c r="AI391" s="35">
        <f t="shared" si="278"/>
        <v>0</v>
      </c>
      <c r="AJ391" s="11">
        <f t="shared" si="279"/>
        <v>3000000</v>
      </c>
      <c r="AK391" s="11">
        <f t="shared" si="280"/>
        <v>0</v>
      </c>
      <c r="AL391" s="11">
        <f t="shared" si="281"/>
        <v>0</v>
      </c>
      <c r="AM391" s="76">
        <f t="shared" si="282"/>
        <v>0</v>
      </c>
      <c r="AN391" s="51">
        <f t="shared" si="283"/>
        <v>3000000</v>
      </c>
      <c r="AO391" s="36"/>
      <c r="AP391" s="9"/>
      <c r="AQ391" s="9"/>
      <c r="AR391" s="9"/>
      <c r="AS391" s="9"/>
      <c r="AT391" s="9"/>
      <c r="AU391" s="9"/>
      <c r="AV391" s="9"/>
      <c r="AW391" s="10"/>
      <c r="AY391" s="11">
        <f>V391-W391-AC391</f>
        <v>0</v>
      </c>
    </row>
    <row r="392" spans="5:51" ht="60" customHeight="1" x14ac:dyDescent="0.2">
      <c r="E392" s="151">
        <f t="shared" si="276"/>
        <v>41510</v>
      </c>
      <c r="F392" s="170" t="s">
        <v>528</v>
      </c>
      <c r="G392" s="156"/>
      <c r="H392" s="157"/>
      <c r="I392" s="158"/>
      <c r="J392" s="159"/>
      <c r="K392" s="158"/>
      <c r="L392" s="159"/>
      <c r="M392" s="158"/>
      <c r="N392" s="159"/>
      <c r="O392" s="158">
        <v>2500000</v>
      </c>
      <c r="P392" s="159"/>
      <c r="Q392" s="165">
        <f t="shared" si="284"/>
        <v>2500000</v>
      </c>
      <c r="R392" s="166">
        <f t="shared" si="284"/>
        <v>0</v>
      </c>
      <c r="S392" s="156"/>
      <c r="T392" s="160"/>
      <c r="U392" s="164"/>
      <c r="V392" s="161">
        <v>2450000</v>
      </c>
      <c r="W392" s="158">
        <f>V392</f>
        <v>2450000</v>
      </c>
      <c r="X392" s="160">
        <f t="shared" si="286"/>
        <v>1715000</v>
      </c>
      <c r="Y392" s="160">
        <f>W392-X392</f>
        <v>735000</v>
      </c>
      <c r="Z392" s="160"/>
      <c r="AA392" s="160"/>
      <c r="AB392" s="159"/>
      <c r="AC392" s="158">
        <f t="shared" si="277"/>
        <v>0</v>
      </c>
      <c r="AD392" s="160">
        <f t="shared" si="287"/>
        <v>0</v>
      </c>
      <c r="AE392" s="160"/>
      <c r="AF392" s="157"/>
      <c r="AG392" s="157"/>
      <c r="AH392" s="159">
        <f t="shared" si="288"/>
        <v>0</v>
      </c>
      <c r="AI392" s="35">
        <f t="shared" si="278"/>
        <v>1715000</v>
      </c>
      <c r="AJ392" s="11">
        <f t="shared" si="279"/>
        <v>735000</v>
      </c>
      <c r="AK392" s="11">
        <f t="shared" si="280"/>
        <v>0</v>
      </c>
      <c r="AL392" s="11">
        <f t="shared" si="281"/>
        <v>0</v>
      </c>
      <c r="AM392" s="76">
        <f t="shared" si="282"/>
        <v>0</v>
      </c>
      <c r="AN392" s="51">
        <f t="shared" si="283"/>
        <v>735000</v>
      </c>
      <c r="AO392" s="36"/>
      <c r="AP392" s="9"/>
      <c r="AQ392" s="9"/>
      <c r="AR392" s="9"/>
      <c r="AS392" s="9"/>
      <c r="AT392" s="9"/>
      <c r="AU392" s="9"/>
      <c r="AV392" s="9"/>
      <c r="AW392" s="10"/>
      <c r="AY392" s="11">
        <f>V392-W392-AC392</f>
        <v>0</v>
      </c>
    </row>
    <row r="393" spans="5:51" ht="60" customHeight="1" x14ac:dyDescent="0.2">
      <c r="E393" s="151">
        <f t="shared" si="276"/>
        <v>41511</v>
      </c>
      <c r="F393" s="170" t="s">
        <v>529</v>
      </c>
      <c r="G393" s="156"/>
      <c r="H393" s="157"/>
      <c r="I393" s="158"/>
      <c r="J393" s="159"/>
      <c r="K393" s="158"/>
      <c r="L393" s="159"/>
      <c r="M393" s="158"/>
      <c r="N393" s="159"/>
      <c r="O393" s="158">
        <v>2500000</v>
      </c>
      <c r="P393" s="159"/>
      <c r="Q393" s="165">
        <f>O393-M393</f>
        <v>2500000</v>
      </c>
      <c r="R393" s="166">
        <f>P393-N393</f>
        <v>0</v>
      </c>
      <c r="S393" s="156"/>
      <c r="T393" s="160"/>
      <c r="U393" s="164"/>
      <c r="V393" s="161">
        <v>1300000</v>
      </c>
      <c r="W393" s="158">
        <f>V393</f>
        <v>1300000</v>
      </c>
      <c r="X393" s="160">
        <f t="shared" si="286"/>
        <v>910000</v>
      </c>
      <c r="Y393" s="160">
        <f>W393-X393</f>
        <v>390000</v>
      </c>
      <c r="Z393" s="160"/>
      <c r="AA393" s="160"/>
      <c r="AB393" s="159"/>
      <c r="AC393" s="158">
        <f t="shared" si="277"/>
        <v>0</v>
      </c>
      <c r="AD393" s="160">
        <f t="shared" si="287"/>
        <v>0</v>
      </c>
      <c r="AE393" s="160"/>
      <c r="AF393" s="157"/>
      <c r="AG393" s="157"/>
      <c r="AH393" s="159">
        <f t="shared" si="288"/>
        <v>0</v>
      </c>
      <c r="AI393" s="35">
        <f t="shared" si="278"/>
        <v>910000</v>
      </c>
      <c r="AJ393" s="11">
        <f t="shared" si="279"/>
        <v>390000</v>
      </c>
      <c r="AK393" s="11">
        <f t="shared" si="280"/>
        <v>0</v>
      </c>
      <c r="AL393" s="11">
        <f t="shared" si="281"/>
        <v>0</v>
      </c>
      <c r="AM393" s="76">
        <f t="shared" si="282"/>
        <v>0</v>
      </c>
      <c r="AN393" s="51">
        <f t="shared" si="283"/>
        <v>390000</v>
      </c>
      <c r="AO393" s="36"/>
      <c r="AP393" s="9"/>
      <c r="AQ393" s="9"/>
      <c r="AR393" s="9"/>
      <c r="AS393" s="9"/>
      <c r="AT393" s="9"/>
      <c r="AU393" s="9"/>
      <c r="AV393" s="9"/>
      <c r="AW393" s="10"/>
      <c r="AY393" s="11"/>
    </row>
    <row r="394" spans="5:51" ht="60" customHeight="1" x14ac:dyDescent="0.2">
      <c r="E394" s="151">
        <f t="shared" si="276"/>
        <v>41512</v>
      </c>
      <c r="F394" s="162" t="s">
        <v>400</v>
      </c>
      <c r="G394" s="156"/>
      <c r="H394" s="157"/>
      <c r="I394" s="158"/>
      <c r="J394" s="159"/>
      <c r="K394" s="158"/>
      <c r="L394" s="159"/>
      <c r="M394" s="158"/>
      <c r="N394" s="159"/>
      <c r="O394" s="158"/>
      <c r="P394" s="159"/>
      <c r="Q394" s="165"/>
      <c r="R394" s="166"/>
      <c r="S394" s="156"/>
      <c r="T394" s="160"/>
      <c r="U394" s="164"/>
      <c r="V394" s="161">
        <v>3000000</v>
      </c>
      <c r="W394" s="158">
        <f>V394</f>
        <v>3000000</v>
      </c>
      <c r="X394" s="160">
        <f>W394*0.7</f>
        <v>2100000</v>
      </c>
      <c r="Y394" s="160">
        <f>W394-X394</f>
        <v>900000</v>
      </c>
      <c r="Z394" s="160"/>
      <c r="AA394" s="160"/>
      <c r="AB394" s="159"/>
      <c r="AC394" s="158"/>
      <c r="AD394" s="160"/>
      <c r="AE394" s="160"/>
      <c r="AF394" s="157"/>
      <c r="AG394" s="157"/>
      <c r="AH394" s="159"/>
      <c r="AI394" s="35">
        <f t="shared" si="278"/>
        <v>2100000</v>
      </c>
      <c r="AJ394" s="11">
        <f t="shared" si="279"/>
        <v>900000</v>
      </c>
      <c r="AK394" s="11">
        <f t="shared" si="280"/>
        <v>0</v>
      </c>
      <c r="AL394" s="11">
        <f t="shared" si="281"/>
        <v>0</v>
      </c>
      <c r="AM394" s="76">
        <f t="shared" si="282"/>
        <v>0</v>
      </c>
      <c r="AN394" s="51">
        <f t="shared" si="283"/>
        <v>900000</v>
      </c>
      <c r="AO394" s="36"/>
      <c r="AP394" s="9"/>
      <c r="AQ394" s="9"/>
      <c r="AR394" s="9"/>
      <c r="AS394" s="9"/>
      <c r="AT394" s="9"/>
      <c r="AU394" s="9"/>
      <c r="AV394" s="9"/>
      <c r="AW394" s="10"/>
      <c r="AY394" s="11"/>
    </row>
    <row r="395" spans="5:51" ht="60" customHeight="1" x14ac:dyDescent="0.2">
      <c r="E395" s="149"/>
      <c r="F395" s="127" t="s">
        <v>200</v>
      </c>
      <c r="G395" s="118">
        <f t="shared" ref="G395:AV395" si="289">SUM(G383:G394)</f>
        <v>2500000</v>
      </c>
      <c r="H395" s="116">
        <f t="shared" si="289"/>
        <v>0</v>
      </c>
      <c r="I395" s="115">
        <f t="shared" si="289"/>
        <v>6071000</v>
      </c>
      <c r="J395" s="117">
        <f t="shared" si="289"/>
        <v>6070155</v>
      </c>
      <c r="K395" s="115">
        <f t="shared" si="289"/>
        <v>6000000</v>
      </c>
      <c r="L395" s="117">
        <f t="shared" si="289"/>
        <v>249867</v>
      </c>
      <c r="M395" s="115">
        <f t="shared" si="289"/>
        <v>9300000</v>
      </c>
      <c r="N395" s="117">
        <f t="shared" si="289"/>
        <v>3665714</v>
      </c>
      <c r="O395" s="115">
        <f t="shared" si="289"/>
        <v>19701000</v>
      </c>
      <c r="P395" s="117">
        <f t="shared" si="289"/>
        <v>12850217</v>
      </c>
      <c r="Q395" s="115">
        <f t="shared" si="289"/>
        <v>10401000</v>
      </c>
      <c r="R395" s="117">
        <f t="shared" si="289"/>
        <v>9184503</v>
      </c>
      <c r="S395" s="118">
        <f t="shared" si="289"/>
        <v>12397000</v>
      </c>
      <c r="T395" s="120">
        <f t="shared" si="289"/>
        <v>8768887</v>
      </c>
      <c r="U395" s="116">
        <f t="shared" si="289"/>
        <v>3628113</v>
      </c>
      <c r="V395" s="119">
        <f t="shared" si="289"/>
        <v>43850000</v>
      </c>
      <c r="W395" s="115">
        <f t="shared" si="289"/>
        <v>40850000</v>
      </c>
      <c r="X395" s="120">
        <f t="shared" si="289"/>
        <v>28595000</v>
      </c>
      <c r="Y395" s="120">
        <f t="shared" si="289"/>
        <v>12255000</v>
      </c>
      <c r="Z395" s="120">
        <f t="shared" si="289"/>
        <v>0</v>
      </c>
      <c r="AA395" s="120"/>
      <c r="AB395" s="117"/>
      <c r="AC395" s="115">
        <f t="shared" si="289"/>
        <v>3000000</v>
      </c>
      <c r="AD395" s="120">
        <f t="shared" si="289"/>
        <v>0</v>
      </c>
      <c r="AE395" s="120">
        <f t="shared" si="289"/>
        <v>3000000</v>
      </c>
      <c r="AF395" s="116"/>
      <c r="AG395" s="116"/>
      <c r="AH395" s="117">
        <f t="shared" si="289"/>
        <v>0</v>
      </c>
      <c r="AI395" s="47">
        <f t="shared" si="289"/>
        <v>28595000</v>
      </c>
      <c r="AJ395" s="10">
        <f t="shared" si="289"/>
        <v>15255000</v>
      </c>
      <c r="AK395" s="10">
        <f t="shared" si="289"/>
        <v>0</v>
      </c>
      <c r="AL395" s="10">
        <f t="shared" si="289"/>
        <v>0</v>
      </c>
      <c r="AM395" s="48">
        <f t="shared" si="289"/>
        <v>0</v>
      </c>
      <c r="AN395" s="52">
        <f t="shared" si="289"/>
        <v>15255000</v>
      </c>
      <c r="AO395" s="39">
        <f t="shared" si="289"/>
        <v>0</v>
      </c>
      <c r="AP395" s="10">
        <f t="shared" si="289"/>
        <v>0</v>
      </c>
      <c r="AQ395" s="10">
        <f t="shared" si="289"/>
        <v>0</v>
      </c>
      <c r="AR395" s="10">
        <f t="shared" si="289"/>
        <v>0</v>
      </c>
      <c r="AS395" s="10">
        <f t="shared" si="289"/>
        <v>0</v>
      </c>
      <c r="AT395" s="10">
        <f t="shared" si="289"/>
        <v>0</v>
      </c>
      <c r="AU395" s="10">
        <f t="shared" si="289"/>
        <v>0</v>
      </c>
      <c r="AV395" s="10">
        <f t="shared" si="289"/>
        <v>0</v>
      </c>
      <c r="AW395" s="10">
        <f t="shared" si="271"/>
        <v>0</v>
      </c>
      <c r="AY395" s="11">
        <f t="shared" ref="AY395:AY401" si="290">V395-W395-AC395</f>
        <v>0</v>
      </c>
    </row>
    <row r="396" spans="5:51" ht="60" customHeight="1" x14ac:dyDescent="0.2">
      <c r="E396" s="151">
        <v>41600</v>
      </c>
      <c r="F396" s="155" t="s">
        <v>201</v>
      </c>
      <c r="G396" s="118"/>
      <c r="H396" s="116"/>
      <c r="I396" s="115"/>
      <c r="J396" s="117"/>
      <c r="K396" s="115"/>
      <c r="L396" s="117"/>
      <c r="M396" s="115"/>
      <c r="N396" s="117"/>
      <c r="O396" s="115"/>
      <c r="P396" s="117"/>
      <c r="Q396" s="115"/>
      <c r="R396" s="117"/>
      <c r="S396" s="118"/>
      <c r="T396" s="120"/>
      <c r="U396" s="116"/>
      <c r="V396" s="119"/>
      <c r="W396" s="115"/>
      <c r="X396" s="120"/>
      <c r="Y396" s="120"/>
      <c r="Z396" s="120"/>
      <c r="AA396" s="120"/>
      <c r="AB396" s="117"/>
      <c r="AC396" s="115"/>
      <c r="AD396" s="120"/>
      <c r="AE396" s="120"/>
      <c r="AF396" s="116"/>
      <c r="AG396" s="116"/>
      <c r="AH396" s="117"/>
      <c r="AI396" s="47"/>
      <c r="AJ396" s="10"/>
      <c r="AK396" s="10"/>
      <c r="AL396" s="10"/>
      <c r="AM396" s="48"/>
      <c r="AN396" s="50"/>
      <c r="AO396" s="39"/>
      <c r="AP396" s="10"/>
      <c r="AQ396" s="10"/>
      <c r="AR396" s="10"/>
      <c r="AS396" s="10"/>
      <c r="AT396" s="10"/>
      <c r="AU396" s="10"/>
      <c r="AV396" s="9"/>
      <c r="AW396" s="10">
        <f t="shared" si="271"/>
        <v>0</v>
      </c>
      <c r="AY396" s="11">
        <f t="shared" si="290"/>
        <v>0</v>
      </c>
    </row>
    <row r="397" spans="5:51" ht="60" customHeight="1" x14ac:dyDescent="0.2">
      <c r="E397" s="151">
        <v>41601</v>
      </c>
      <c r="F397" s="162" t="s">
        <v>301</v>
      </c>
      <c r="G397" s="156">
        <v>30000</v>
      </c>
      <c r="H397" s="157">
        <f>G397</f>
        <v>30000</v>
      </c>
      <c r="I397" s="158">
        <v>30000</v>
      </c>
      <c r="J397" s="159">
        <v>60000</v>
      </c>
      <c r="K397" s="158">
        <v>30000</v>
      </c>
      <c r="L397" s="159">
        <v>5616</v>
      </c>
      <c r="M397" s="158">
        <v>30000</v>
      </c>
      <c r="N397" s="159"/>
      <c r="O397" s="158">
        <v>30000</v>
      </c>
      <c r="P397" s="159"/>
      <c r="Q397" s="165">
        <f t="shared" ref="Q397:R401" si="291">O397-M397</f>
        <v>0</v>
      </c>
      <c r="R397" s="166">
        <f t="shared" si="291"/>
        <v>0</v>
      </c>
      <c r="S397" s="156">
        <v>76000</v>
      </c>
      <c r="T397" s="160"/>
      <c r="U397" s="164">
        <f>S397</f>
        <v>76000</v>
      </c>
      <c r="V397" s="161">
        <v>30000</v>
      </c>
      <c r="W397" s="158">
        <v>10000</v>
      </c>
      <c r="X397" s="160"/>
      <c r="Y397" s="160"/>
      <c r="Z397" s="160"/>
      <c r="AA397" s="160">
        <f>W397</f>
        <v>10000</v>
      </c>
      <c r="AB397" s="159"/>
      <c r="AC397" s="158">
        <f>V397-W397</f>
        <v>20000</v>
      </c>
      <c r="AD397" s="160"/>
      <c r="AE397" s="160"/>
      <c r="AF397" s="157"/>
      <c r="AG397" s="157">
        <f>AC397</f>
        <v>20000</v>
      </c>
      <c r="AH397" s="159"/>
      <c r="AI397" s="35">
        <f t="shared" ref="AI397:AI402" si="292">AD397+X397</f>
        <v>0</v>
      </c>
      <c r="AJ397" s="11">
        <f t="shared" ref="AJ397:AJ402" si="293">AE397+Y397</f>
        <v>0</v>
      </c>
      <c r="AK397" s="11">
        <f t="shared" ref="AK397:AK402" si="294">AF397+Z397</f>
        <v>0</v>
      </c>
      <c r="AL397" s="11">
        <f t="shared" ref="AL397:AL402" si="295">AG397+AA397</f>
        <v>30000</v>
      </c>
      <c r="AM397" s="76">
        <f t="shared" ref="AM397:AM402" si="296">AH397+AB397</f>
        <v>0</v>
      </c>
      <c r="AN397" s="51">
        <f t="shared" ref="AN397:AN402" si="297">SUM(AJ397:AM397)</f>
        <v>30000</v>
      </c>
      <c r="AO397" s="36"/>
      <c r="AP397" s="16"/>
      <c r="AQ397" s="10"/>
      <c r="AR397" s="10"/>
      <c r="AS397" s="10"/>
      <c r="AT397" s="16"/>
      <c r="AU397" s="10"/>
      <c r="AV397" s="9">
        <f>AU397+AT397+AS397+AR397</f>
        <v>0</v>
      </c>
      <c r="AW397" s="10">
        <f t="shared" si="271"/>
        <v>0</v>
      </c>
      <c r="AY397" s="11">
        <f t="shared" si="290"/>
        <v>0</v>
      </c>
    </row>
    <row r="398" spans="5:51" ht="60" customHeight="1" x14ac:dyDescent="0.2">
      <c r="E398" s="151">
        <v>41602</v>
      </c>
      <c r="F398" s="170" t="s">
        <v>302</v>
      </c>
      <c r="G398" s="156"/>
      <c r="H398" s="157"/>
      <c r="I398" s="158"/>
      <c r="J398" s="159"/>
      <c r="K398" s="158">
        <f>75000+110000</f>
        <v>185000</v>
      </c>
      <c r="L398" s="159">
        <v>185000</v>
      </c>
      <c r="M398" s="158">
        <v>185000</v>
      </c>
      <c r="N398" s="159">
        <v>185000</v>
      </c>
      <c r="O398" s="158">
        <v>300000</v>
      </c>
      <c r="P398" s="159">
        <v>300000</v>
      </c>
      <c r="Q398" s="165">
        <f t="shared" si="291"/>
        <v>115000</v>
      </c>
      <c r="R398" s="166">
        <f t="shared" si="291"/>
        <v>115000</v>
      </c>
      <c r="S398" s="156">
        <v>68000</v>
      </c>
      <c r="T398" s="160"/>
      <c r="U398" s="164">
        <f>S398</f>
        <v>68000</v>
      </c>
      <c r="V398" s="161">
        <v>300000</v>
      </c>
      <c r="W398" s="158">
        <v>300000</v>
      </c>
      <c r="X398" s="160"/>
      <c r="Y398" s="160"/>
      <c r="Z398" s="160"/>
      <c r="AA398" s="160">
        <f>W398</f>
        <v>300000</v>
      </c>
      <c r="AB398" s="159"/>
      <c r="AC398" s="158">
        <f>V398-W398</f>
        <v>0</v>
      </c>
      <c r="AD398" s="160"/>
      <c r="AE398" s="160"/>
      <c r="AF398" s="157"/>
      <c r="AG398" s="157"/>
      <c r="AH398" s="159"/>
      <c r="AI398" s="35">
        <f t="shared" si="292"/>
        <v>0</v>
      </c>
      <c r="AJ398" s="11">
        <f t="shared" si="293"/>
        <v>0</v>
      </c>
      <c r="AK398" s="11">
        <f t="shared" si="294"/>
        <v>0</v>
      </c>
      <c r="AL398" s="11">
        <f t="shared" si="295"/>
        <v>300000</v>
      </c>
      <c r="AM398" s="76">
        <f t="shared" si="296"/>
        <v>0</v>
      </c>
      <c r="AN398" s="51">
        <f t="shared" si="297"/>
        <v>300000</v>
      </c>
      <c r="AO398" s="36"/>
      <c r="AP398" s="16"/>
      <c r="AQ398" s="10"/>
      <c r="AR398" s="10"/>
      <c r="AS398" s="10"/>
      <c r="AT398" s="16"/>
      <c r="AU398" s="10"/>
      <c r="AV398" s="9">
        <f>AU398+AT398+AS398+AR398</f>
        <v>0</v>
      </c>
      <c r="AW398" s="10"/>
      <c r="AY398" s="11">
        <f t="shared" si="290"/>
        <v>0</v>
      </c>
    </row>
    <row r="399" spans="5:51" ht="60" customHeight="1" x14ac:dyDescent="0.2">
      <c r="E399" s="151">
        <v>41603</v>
      </c>
      <c r="F399" s="170" t="s">
        <v>303</v>
      </c>
      <c r="G399" s="156"/>
      <c r="H399" s="157"/>
      <c r="I399" s="158"/>
      <c r="J399" s="159"/>
      <c r="K399" s="158"/>
      <c r="L399" s="159"/>
      <c r="M399" s="158">
        <v>100000</v>
      </c>
      <c r="N399" s="159">
        <v>100000</v>
      </c>
      <c r="O399" s="158">
        <v>100000</v>
      </c>
      <c r="P399" s="159">
        <v>100000</v>
      </c>
      <c r="Q399" s="165">
        <f t="shared" si="291"/>
        <v>0</v>
      </c>
      <c r="R399" s="166">
        <f t="shared" si="291"/>
        <v>0</v>
      </c>
      <c r="S399" s="156">
        <v>100000</v>
      </c>
      <c r="T399" s="160"/>
      <c r="U399" s="164">
        <f>S399</f>
        <v>100000</v>
      </c>
      <c r="V399" s="161">
        <v>100000</v>
      </c>
      <c r="W399" s="158">
        <v>100000</v>
      </c>
      <c r="X399" s="160"/>
      <c r="Y399" s="160"/>
      <c r="Z399" s="160"/>
      <c r="AA399" s="160">
        <f>W399</f>
        <v>100000</v>
      </c>
      <c r="AB399" s="159"/>
      <c r="AC399" s="158">
        <f>V399-W399</f>
        <v>0</v>
      </c>
      <c r="AD399" s="160"/>
      <c r="AE399" s="160"/>
      <c r="AF399" s="157"/>
      <c r="AG399" s="157"/>
      <c r="AH399" s="159"/>
      <c r="AI399" s="35">
        <f t="shared" si="292"/>
        <v>0</v>
      </c>
      <c r="AJ399" s="11">
        <f t="shared" si="293"/>
        <v>0</v>
      </c>
      <c r="AK399" s="11">
        <f t="shared" si="294"/>
        <v>0</v>
      </c>
      <c r="AL399" s="11">
        <f t="shared" si="295"/>
        <v>100000</v>
      </c>
      <c r="AM399" s="76">
        <f t="shared" si="296"/>
        <v>0</v>
      </c>
      <c r="AN399" s="51">
        <f t="shared" si="297"/>
        <v>100000</v>
      </c>
      <c r="AO399" s="36"/>
      <c r="AP399" s="16"/>
      <c r="AQ399" s="10"/>
      <c r="AR399" s="10"/>
      <c r="AS399" s="10"/>
      <c r="AT399" s="16"/>
      <c r="AU399" s="10"/>
      <c r="AV399" s="9">
        <f>AU399+AT399+AS399+AR399</f>
        <v>0</v>
      </c>
      <c r="AW399" s="10"/>
      <c r="AY399" s="11">
        <f t="shared" si="290"/>
        <v>0</v>
      </c>
    </row>
    <row r="400" spans="5:51" ht="60" customHeight="1" x14ac:dyDescent="0.2">
      <c r="E400" s="151">
        <v>41604</v>
      </c>
      <c r="F400" s="162" t="s">
        <v>358</v>
      </c>
      <c r="G400" s="156"/>
      <c r="H400" s="157"/>
      <c r="I400" s="158"/>
      <c r="J400" s="159"/>
      <c r="K400" s="158"/>
      <c r="L400" s="159"/>
      <c r="M400" s="158"/>
      <c r="N400" s="159"/>
      <c r="O400" s="158">
        <v>1000000</v>
      </c>
      <c r="P400" s="159"/>
      <c r="Q400" s="165">
        <f t="shared" si="291"/>
        <v>1000000</v>
      </c>
      <c r="R400" s="166">
        <f t="shared" si="291"/>
        <v>0</v>
      </c>
      <c r="S400" s="156"/>
      <c r="T400" s="160"/>
      <c r="U400" s="164"/>
      <c r="V400" s="161">
        <v>1000000</v>
      </c>
      <c r="W400" s="158">
        <v>0</v>
      </c>
      <c r="X400" s="160"/>
      <c r="Y400" s="160">
        <f>W400</f>
        <v>0</v>
      </c>
      <c r="Z400" s="160"/>
      <c r="AA400" s="160"/>
      <c r="AB400" s="159"/>
      <c r="AC400" s="158">
        <f>V400-W400</f>
        <v>1000000</v>
      </c>
      <c r="AD400" s="160"/>
      <c r="AE400" s="160"/>
      <c r="AF400" s="157"/>
      <c r="AG400" s="157">
        <f>AC400</f>
        <v>1000000</v>
      </c>
      <c r="AH400" s="159"/>
      <c r="AI400" s="35">
        <f t="shared" si="292"/>
        <v>0</v>
      </c>
      <c r="AJ400" s="11">
        <f t="shared" si="293"/>
        <v>0</v>
      </c>
      <c r="AK400" s="11">
        <f t="shared" si="294"/>
        <v>0</v>
      </c>
      <c r="AL400" s="11">
        <f t="shared" si="295"/>
        <v>1000000</v>
      </c>
      <c r="AM400" s="76">
        <f t="shared" si="296"/>
        <v>0</v>
      </c>
      <c r="AN400" s="51">
        <f t="shared" si="297"/>
        <v>1000000</v>
      </c>
      <c r="AO400" s="36"/>
      <c r="AP400" s="16"/>
      <c r="AQ400" s="10"/>
      <c r="AR400" s="10"/>
      <c r="AS400" s="10"/>
      <c r="AT400" s="16"/>
      <c r="AU400" s="10"/>
      <c r="AV400" s="9"/>
      <c r="AW400" s="10"/>
      <c r="AY400" s="11">
        <f t="shared" si="290"/>
        <v>0</v>
      </c>
    </row>
    <row r="401" spans="5:56" ht="60" customHeight="1" x14ac:dyDescent="0.2">
      <c r="E401" s="151">
        <v>41605</v>
      </c>
      <c r="F401" s="162" t="s">
        <v>359</v>
      </c>
      <c r="G401" s="156"/>
      <c r="H401" s="157"/>
      <c r="I401" s="158"/>
      <c r="J401" s="159"/>
      <c r="K401" s="158"/>
      <c r="L401" s="159"/>
      <c r="M401" s="158"/>
      <c r="N401" s="159"/>
      <c r="O401" s="158">
        <v>500000</v>
      </c>
      <c r="P401" s="159"/>
      <c r="Q401" s="165">
        <f t="shared" si="291"/>
        <v>500000</v>
      </c>
      <c r="R401" s="166">
        <f t="shared" si="291"/>
        <v>0</v>
      </c>
      <c r="S401" s="156"/>
      <c r="T401" s="160"/>
      <c r="U401" s="164"/>
      <c r="V401" s="161">
        <v>500000</v>
      </c>
      <c r="W401" s="158">
        <v>0</v>
      </c>
      <c r="X401" s="160"/>
      <c r="Y401" s="160">
        <f>W401</f>
        <v>0</v>
      </c>
      <c r="Z401" s="160"/>
      <c r="AA401" s="160"/>
      <c r="AB401" s="159"/>
      <c r="AC401" s="158">
        <f>V401-W401</f>
        <v>500000</v>
      </c>
      <c r="AD401" s="160"/>
      <c r="AE401" s="160"/>
      <c r="AF401" s="157"/>
      <c r="AG401" s="157">
        <f>AC401</f>
        <v>500000</v>
      </c>
      <c r="AH401" s="159"/>
      <c r="AI401" s="35">
        <f t="shared" si="292"/>
        <v>0</v>
      </c>
      <c r="AJ401" s="11">
        <f t="shared" si="293"/>
        <v>0</v>
      </c>
      <c r="AK401" s="11">
        <f t="shared" si="294"/>
        <v>0</v>
      </c>
      <c r="AL401" s="11">
        <f t="shared" si="295"/>
        <v>500000</v>
      </c>
      <c r="AM401" s="76">
        <f t="shared" si="296"/>
        <v>0</v>
      </c>
      <c r="AN401" s="51">
        <f t="shared" si="297"/>
        <v>500000</v>
      </c>
      <c r="AO401" s="36"/>
      <c r="AP401" s="16"/>
      <c r="AQ401" s="10"/>
      <c r="AR401" s="10"/>
      <c r="AS401" s="10"/>
      <c r="AT401" s="16"/>
      <c r="AU401" s="10"/>
      <c r="AV401" s="9"/>
      <c r="AW401" s="10"/>
      <c r="AY401" s="11">
        <f t="shared" si="290"/>
        <v>0</v>
      </c>
    </row>
    <row r="402" spans="5:56" ht="60" customHeight="1" x14ac:dyDescent="0.2">
      <c r="E402" s="151">
        <v>41605</v>
      </c>
      <c r="F402" s="170" t="s">
        <v>537</v>
      </c>
      <c r="G402" s="156"/>
      <c r="H402" s="157"/>
      <c r="I402" s="158"/>
      <c r="J402" s="159"/>
      <c r="K402" s="158"/>
      <c r="L402" s="159"/>
      <c r="M402" s="158"/>
      <c r="N402" s="159"/>
      <c r="O402" s="158"/>
      <c r="P402" s="159"/>
      <c r="Q402" s="165"/>
      <c r="R402" s="166"/>
      <c r="S402" s="156"/>
      <c r="T402" s="160"/>
      <c r="U402" s="164"/>
      <c r="V402" s="161">
        <v>386000</v>
      </c>
      <c r="W402" s="158"/>
      <c r="X402" s="160"/>
      <c r="Y402" s="160"/>
      <c r="Z402" s="160"/>
      <c r="AA402" s="160"/>
      <c r="AB402" s="159"/>
      <c r="AC402" s="158">
        <f>V402</f>
        <v>386000</v>
      </c>
      <c r="AD402" s="160"/>
      <c r="AE402" s="160"/>
      <c r="AF402" s="157"/>
      <c r="AG402" s="157">
        <f>AC402</f>
        <v>386000</v>
      </c>
      <c r="AH402" s="159"/>
      <c r="AI402" s="35">
        <f t="shared" si="292"/>
        <v>0</v>
      </c>
      <c r="AJ402" s="11">
        <f t="shared" si="293"/>
        <v>0</v>
      </c>
      <c r="AK402" s="11">
        <f t="shared" si="294"/>
        <v>0</v>
      </c>
      <c r="AL402" s="11">
        <f t="shared" si="295"/>
        <v>386000</v>
      </c>
      <c r="AM402" s="76">
        <f t="shared" si="296"/>
        <v>0</v>
      </c>
      <c r="AN402" s="51">
        <f t="shared" si="297"/>
        <v>386000</v>
      </c>
      <c r="AO402" s="36"/>
      <c r="AP402" s="16"/>
      <c r="AQ402" s="10"/>
      <c r="AR402" s="10"/>
      <c r="AS402" s="10"/>
      <c r="AT402" s="16"/>
      <c r="AU402" s="10"/>
      <c r="AV402" s="9"/>
      <c r="AW402" s="10"/>
      <c r="AY402" s="11"/>
    </row>
    <row r="403" spans="5:56" ht="60" customHeight="1" x14ac:dyDescent="0.2">
      <c r="E403" s="149"/>
      <c r="F403" s="127" t="s">
        <v>202</v>
      </c>
      <c r="G403" s="118">
        <f t="shared" ref="G403:AV403" si="298">SUM(G397:G401)</f>
        <v>30000</v>
      </c>
      <c r="H403" s="116">
        <f t="shared" si="298"/>
        <v>30000</v>
      </c>
      <c r="I403" s="115">
        <f t="shared" si="298"/>
        <v>30000</v>
      </c>
      <c r="J403" s="117">
        <f t="shared" si="298"/>
        <v>60000</v>
      </c>
      <c r="K403" s="115">
        <f t="shared" si="298"/>
        <v>215000</v>
      </c>
      <c r="L403" s="117">
        <f t="shared" si="298"/>
        <v>190616</v>
      </c>
      <c r="M403" s="115">
        <f t="shared" si="298"/>
        <v>315000</v>
      </c>
      <c r="N403" s="117">
        <f t="shared" si="298"/>
        <v>285000</v>
      </c>
      <c r="O403" s="115">
        <f t="shared" si="298"/>
        <v>1930000</v>
      </c>
      <c r="P403" s="117">
        <f t="shared" si="298"/>
        <v>400000</v>
      </c>
      <c r="Q403" s="115">
        <f>SUM(Q397:Q401)</f>
        <v>1615000</v>
      </c>
      <c r="R403" s="117">
        <f>SUM(R397:R401)</f>
        <v>115000</v>
      </c>
      <c r="S403" s="118">
        <f t="shared" si="298"/>
        <v>244000</v>
      </c>
      <c r="T403" s="120">
        <f t="shared" si="298"/>
        <v>0</v>
      </c>
      <c r="U403" s="116">
        <f t="shared" si="298"/>
        <v>244000</v>
      </c>
      <c r="V403" s="119">
        <f>SUM(V397:V402)</f>
        <v>2316000</v>
      </c>
      <c r="W403" s="115">
        <f t="shared" ref="W403:AM403" si="299">SUM(W397:W402)</f>
        <v>410000</v>
      </c>
      <c r="X403" s="120">
        <f t="shared" si="299"/>
        <v>0</v>
      </c>
      <c r="Y403" s="120">
        <f t="shared" si="299"/>
        <v>0</v>
      </c>
      <c r="Z403" s="120">
        <f t="shared" si="299"/>
        <v>0</v>
      </c>
      <c r="AA403" s="120">
        <f t="shared" si="299"/>
        <v>410000</v>
      </c>
      <c r="AB403" s="117">
        <f t="shared" si="299"/>
        <v>0</v>
      </c>
      <c r="AC403" s="115">
        <f t="shared" si="299"/>
        <v>1906000</v>
      </c>
      <c r="AD403" s="120">
        <f t="shared" si="299"/>
        <v>0</v>
      </c>
      <c r="AE403" s="120">
        <f t="shared" si="299"/>
        <v>0</v>
      </c>
      <c r="AF403" s="116">
        <f t="shared" si="299"/>
        <v>0</v>
      </c>
      <c r="AG403" s="116">
        <f t="shared" si="299"/>
        <v>1906000</v>
      </c>
      <c r="AH403" s="117">
        <f t="shared" si="299"/>
        <v>0</v>
      </c>
      <c r="AI403" s="47">
        <f t="shared" si="299"/>
        <v>0</v>
      </c>
      <c r="AJ403" s="10">
        <f t="shared" si="299"/>
        <v>0</v>
      </c>
      <c r="AK403" s="10">
        <f t="shared" si="299"/>
        <v>0</v>
      </c>
      <c r="AL403" s="10">
        <f t="shared" si="299"/>
        <v>2316000</v>
      </c>
      <c r="AM403" s="48">
        <f t="shared" si="299"/>
        <v>0</v>
      </c>
      <c r="AN403" s="52">
        <f>SUM(AN397:AN402)</f>
        <v>2316000</v>
      </c>
      <c r="AO403" s="39">
        <f t="shared" si="298"/>
        <v>0</v>
      </c>
      <c r="AP403" s="10">
        <f t="shared" si="298"/>
        <v>0</v>
      </c>
      <c r="AQ403" s="10">
        <f t="shared" si="298"/>
        <v>0</v>
      </c>
      <c r="AR403" s="10">
        <f t="shared" si="298"/>
        <v>0</v>
      </c>
      <c r="AS403" s="10">
        <f t="shared" si="298"/>
        <v>0</v>
      </c>
      <c r="AT403" s="10">
        <f t="shared" si="298"/>
        <v>0</v>
      </c>
      <c r="AU403" s="10">
        <f t="shared" si="298"/>
        <v>0</v>
      </c>
      <c r="AV403" s="10">
        <f t="shared" si="298"/>
        <v>0</v>
      </c>
      <c r="AW403" s="10">
        <f t="shared" si="271"/>
        <v>0</v>
      </c>
      <c r="AX403" s="10">
        <f>SUM(AX397:AX401)</f>
        <v>0</v>
      </c>
      <c r="AY403" s="11">
        <f t="shared" ref="AY403:AY417" si="300">V403-W403-AC403</f>
        <v>0</v>
      </c>
    </row>
    <row r="404" spans="5:56" ht="60" customHeight="1" x14ac:dyDescent="0.2">
      <c r="E404" s="150"/>
      <c r="F404" s="127" t="s">
        <v>203</v>
      </c>
      <c r="G404" s="118">
        <f t="shared" ref="G404:AN404" si="301">G403+G395+G381+G376+G366+G351+G249+G239+G210</f>
        <v>108081000</v>
      </c>
      <c r="H404" s="116">
        <f t="shared" si="301"/>
        <v>105398552</v>
      </c>
      <c r="I404" s="115">
        <f t="shared" si="301"/>
        <v>114241365</v>
      </c>
      <c r="J404" s="117">
        <f t="shared" si="301"/>
        <v>113591866</v>
      </c>
      <c r="K404" s="115">
        <f t="shared" si="301"/>
        <v>145573000</v>
      </c>
      <c r="L404" s="117">
        <f t="shared" si="301"/>
        <v>137429808</v>
      </c>
      <c r="M404" s="115">
        <f t="shared" si="301"/>
        <v>234818323</v>
      </c>
      <c r="N404" s="117">
        <f t="shared" si="301"/>
        <v>225814924</v>
      </c>
      <c r="O404" s="115">
        <f t="shared" si="301"/>
        <v>315995000</v>
      </c>
      <c r="P404" s="117">
        <f t="shared" si="301"/>
        <v>261595544</v>
      </c>
      <c r="Q404" s="115">
        <f t="shared" si="301"/>
        <v>80976677</v>
      </c>
      <c r="R404" s="117">
        <f t="shared" si="301"/>
        <v>35780620</v>
      </c>
      <c r="S404" s="118">
        <f t="shared" si="301"/>
        <v>82548000</v>
      </c>
      <c r="T404" s="120">
        <f t="shared" si="301"/>
        <v>14502547</v>
      </c>
      <c r="U404" s="116">
        <f t="shared" si="301"/>
        <v>68045453</v>
      </c>
      <c r="V404" s="119">
        <f t="shared" si="301"/>
        <v>333750000</v>
      </c>
      <c r="W404" s="115">
        <f t="shared" ref="W404:AM404" si="302">W403+W395+W381+W376+W366+W351+W249+W239+W210</f>
        <v>202067000</v>
      </c>
      <c r="X404" s="120">
        <f t="shared" si="302"/>
        <v>40790000</v>
      </c>
      <c r="Y404" s="120">
        <f t="shared" si="302"/>
        <v>30955000</v>
      </c>
      <c r="Z404" s="120">
        <f t="shared" si="302"/>
        <v>24205000</v>
      </c>
      <c r="AA404" s="120">
        <f t="shared" si="302"/>
        <v>104079500</v>
      </c>
      <c r="AB404" s="117">
        <f t="shared" si="302"/>
        <v>2037500</v>
      </c>
      <c r="AC404" s="115">
        <f t="shared" si="302"/>
        <v>131683000</v>
      </c>
      <c r="AD404" s="120">
        <f t="shared" si="302"/>
        <v>1960000</v>
      </c>
      <c r="AE404" s="120">
        <f t="shared" si="302"/>
        <v>48203000</v>
      </c>
      <c r="AF404" s="116">
        <f t="shared" si="302"/>
        <v>34182000</v>
      </c>
      <c r="AG404" s="116">
        <f t="shared" si="302"/>
        <v>43293500</v>
      </c>
      <c r="AH404" s="117">
        <f t="shared" si="302"/>
        <v>4044500</v>
      </c>
      <c r="AI404" s="47">
        <f t="shared" si="302"/>
        <v>42750000</v>
      </c>
      <c r="AJ404" s="10">
        <f t="shared" si="302"/>
        <v>79158000</v>
      </c>
      <c r="AK404" s="10">
        <f t="shared" si="302"/>
        <v>58387000</v>
      </c>
      <c r="AL404" s="10">
        <f t="shared" si="302"/>
        <v>147373000</v>
      </c>
      <c r="AM404" s="48">
        <f t="shared" si="302"/>
        <v>6082000</v>
      </c>
      <c r="AN404" s="52">
        <f t="shared" si="301"/>
        <v>291000000</v>
      </c>
      <c r="AO404" s="39">
        <f t="shared" ref="AO404:AV404" si="303">AO403+AO395+AO381+AO376+AO366+AO350+AO346+AO335+AO298+AO286+AO278+AO249+AO239+AO210</f>
        <v>0</v>
      </c>
      <c r="AP404" s="10">
        <f t="shared" si="303"/>
        <v>52900000</v>
      </c>
      <c r="AQ404" s="10">
        <f t="shared" si="303"/>
        <v>0</v>
      </c>
      <c r="AR404" s="10">
        <f t="shared" si="303"/>
        <v>0</v>
      </c>
      <c r="AS404" s="10">
        <f t="shared" si="303"/>
        <v>0</v>
      </c>
      <c r="AT404" s="10">
        <f t="shared" si="303"/>
        <v>52900000</v>
      </c>
      <c r="AU404" s="10">
        <f t="shared" si="303"/>
        <v>0</v>
      </c>
      <c r="AV404" s="10">
        <f t="shared" si="303"/>
        <v>52900000</v>
      </c>
      <c r="AW404" s="10">
        <f t="shared" si="271"/>
        <v>0</v>
      </c>
      <c r="AY404" s="11">
        <f t="shared" si="300"/>
        <v>0</v>
      </c>
      <c r="BD404" s="61"/>
    </row>
    <row r="405" spans="5:56" ht="60" customHeight="1" x14ac:dyDescent="0.2">
      <c r="E405" s="151"/>
      <c r="F405" s="155" t="s">
        <v>204</v>
      </c>
      <c r="G405" s="156"/>
      <c r="H405" s="157"/>
      <c r="I405" s="158"/>
      <c r="J405" s="159"/>
      <c r="K405" s="158"/>
      <c r="L405" s="159"/>
      <c r="M405" s="158"/>
      <c r="N405" s="159"/>
      <c r="O405" s="158"/>
      <c r="P405" s="159"/>
      <c r="Q405" s="158"/>
      <c r="R405" s="159"/>
      <c r="S405" s="156"/>
      <c r="T405" s="160"/>
      <c r="U405" s="157"/>
      <c r="V405" s="161"/>
      <c r="W405" s="158"/>
      <c r="X405" s="160"/>
      <c r="Y405" s="160"/>
      <c r="Z405" s="160"/>
      <c r="AA405" s="160"/>
      <c r="AB405" s="159"/>
      <c r="AC405" s="158"/>
      <c r="AD405" s="160"/>
      <c r="AE405" s="160"/>
      <c r="AF405" s="157"/>
      <c r="AG405" s="157"/>
      <c r="AH405" s="159"/>
      <c r="AI405" s="45"/>
      <c r="AJ405" s="9"/>
      <c r="AK405" s="9"/>
      <c r="AL405" s="9"/>
      <c r="AM405" s="46"/>
      <c r="AN405" s="50"/>
      <c r="AO405" s="36"/>
      <c r="AP405" s="9"/>
      <c r="AQ405" s="9"/>
      <c r="AR405" s="9"/>
      <c r="AS405" s="9"/>
      <c r="AT405" s="9"/>
      <c r="AU405" s="9"/>
      <c r="AV405" s="9"/>
      <c r="AW405" s="10">
        <f t="shared" si="271"/>
        <v>0</v>
      </c>
      <c r="AY405" s="11">
        <f t="shared" si="300"/>
        <v>0</v>
      </c>
    </row>
    <row r="406" spans="5:56" ht="60" customHeight="1" x14ac:dyDescent="0.2">
      <c r="E406" s="151">
        <v>50100</v>
      </c>
      <c r="F406" s="155" t="s">
        <v>205</v>
      </c>
      <c r="G406" s="156"/>
      <c r="H406" s="157"/>
      <c r="I406" s="158"/>
      <c r="J406" s="159"/>
      <c r="K406" s="158"/>
      <c r="L406" s="159"/>
      <c r="M406" s="158"/>
      <c r="N406" s="159"/>
      <c r="O406" s="158"/>
      <c r="P406" s="159"/>
      <c r="Q406" s="158"/>
      <c r="R406" s="159"/>
      <c r="S406" s="156"/>
      <c r="T406" s="160"/>
      <c r="U406" s="157"/>
      <c r="V406" s="161"/>
      <c r="W406" s="158"/>
      <c r="X406" s="160"/>
      <c r="Y406" s="160"/>
      <c r="Z406" s="160"/>
      <c r="AA406" s="160"/>
      <c r="AB406" s="159"/>
      <c r="AC406" s="158"/>
      <c r="AD406" s="160"/>
      <c r="AE406" s="160"/>
      <c r="AF406" s="157"/>
      <c r="AG406" s="157"/>
      <c r="AH406" s="159"/>
      <c r="AI406" s="45"/>
      <c r="AJ406" s="9"/>
      <c r="AK406" s="9"/>
      <c r="AL406" s="9"/>
      <c r="AM406" s="46"/>
      <c r="AN406" s="50"/>
      <c r="AO406" s="36"/>
      <c r="AP406" s="9"/>
      <c r="AQ406" s="9"/>
      <c r="AR406" s="9"/>
      <c r="AS406" s="9"/>
      <c r="AT406" s="9"/>
      <c r="AU406" s="9"/>
      <c r="AV406" s="9"/>
      <c r="AW406" s="10">
        <f t="shared" si="271"/>
        <v>0</v>
      </c>
      <c r="AY406" s="11">
        <f t="shared" si="300"/>
        <v>0</v>
      </c>
    </row>
    <row r="407" spans="5:56" ht="60" customHeight="1" x14ac:dyDescent="0.2">
      <c r="E407" s="151">
        <f t="shared" ref="E407:E413" si="304">+E406+1</f>
        <v>50101</v>
      </c>
      <c r="F407" s="170" t="s">
        <v>206</v>
      </c>
      <c r="G407" s="156">
        <v>500000</v>
      </c>
      <c r="H407" s="157">
        <v>500000</v>
      </c>
      <c r="I407" s="158">
        <v>750000</v>
      </c>
      <c r="J407" s="159">
        <f>I407</f>
        <v>750000</v>
      </c>
      <c r="K407" s="158">
        <f>1100000-250000</f>
        <v>850000</v>
      </c>
      <c r="L407" s="159">
        <f>275000+275000+300000</f>
        <v>850000</v>
      </c>
      <c r="M407" s="158">
        <v>850000</v>
      </c>
      <c r="N407" s="159">
        <v>850000</v>
      </c>
      <c r="O407" s="158">
        <v>2000000</v>
      </c>
      <c r="P407" s="159">
        <v>960000</v>
      </c>
      <c r="Q407" s="165">
        <f>O407-M407</f>
        <v>1150000</v>
      </c>
      <c r="R407" s="166">
        <f>P407-N407</f>
        <v>110000</v>
      </c>
      <c r="S407" s="156">
        <v>400000</v>
      </c>
      <c r="T407" s="160"/>
      <c r="U407" s="157">
        <f>+S407</f>
        <v>400000</v>
      </c>
      <c r="V407" s="161">
        <v>2500000</v>
      </c>
      <c r="W407" s="158">
        <v>1000000</v>
      </c>
      <c r="X407" s="160"/>
      <c r="Y407" s="160"/>
      <c r="Z407" s="160"/>
      <c r="AA407" s="160">
        <f>W407/2</f>
        <v>500000</v>
      </c>
      <c r="AB407" s="159">
        <f>W407-AA407</f>
        <v>500000</v>
      </c>
      <c r="AC407" s="158">
        <f t="shared" ref="AC407:AC413" si="305">V407-W407</f>
        <v>1500000</v>
      </c>
      <c r="AD407" s="160"/>
      <c r="AE407" s="160"/>
      <c r="AF407" s="157"/>
      <c r="AG407" s="160">
        <f>AC407/2</f>
        <v>750000</v>
      </c>
      <c r="AH407" s="159">
        <f>AC407-AG407</f>
        <v>750000</v>
      </c>
      <c r="AI407" s="35">
        <f t="shared" ref="AI407:AI413" si="306">AD407+X407</f>
        <v>0</v>
      </c>
      <c r="AJ407" s="11">
        <f t="shared" ref="AJ407:AJ413" si="307">AE407+Y407</f>
        <v>0</v>
      </c>
      <c r="AK407" s="11">
        <f t="shared" ref="AK407:AK413" si="308">AF407+Z407</f>
        <v>0</v>
      </c>
      <c r="AL407" s="11">
        <f t="shared" ref="AL407:AL413" si="309">AG407+AA407</f>
        <v>1250000</v>
      </c>
      <c r="AM407" s="76">
        <f t="shared" ref="AM407:AM413" si="310">AH407+AB407</f>
        <v>1250000</v>
      </c>
      <c r="AN407" s="51">
        <f t="shared" ref="AN407:AN413" si="311">SUM(AJ407:AM407)</f>
        <v>2500000</v>
      </c>
      <c r="AO407" s="36"/>
      <c r="AP407" s="9"/>
      <c r="AQ407" s="9"/>
      <c r="AR407" s="9"/>
      <c r="AS407" s="9"/>
      <c r="AT407" s="9"/>
      <c r="AU407" s="9"/>
      <c r="AV407" s="9">
        <f t="shared" ref="AV407:AV412" si="312">AU407+AT407+AS407+AR407</f>
        <v>0</v>
      </c>
      <c r="AW407" s="10">
        <f t="shared" si="271"/>
        <v>0</v>
      </c>
      <c r="AY407" s="11">
        <f t="shared" si="300"/>
        <v>0</v>
      </c>
    </row>
    <row r="408" spans="5:56" ht="60" customHeight="1" x14ac:dyDescent="0.2">
      <c r="E408" s="151">
        <f t="shared" si="304"/>
        <v>50102</v>
      </c>
      <c r="F408" s="170" t="s">
        <v>207</v>
      </c>
      <c r="G408" s="156">
        <v>100000</v>
      </c>
      <c r="H408" s="157">
        <f>G408</f>
        <v>100000</v>
      </c>
      <c r="I408" s="158">
        <v>100000</v>
      </c>
      <c r="J408" s="159">
        <f>I408</f>
        <v>100000</v>
      </c>
      <c r="K408" s="158">
        <v>100000</v>
      </c>
      <c r="L408" s="159">
        <f>50000+50000</f>
        <v>100000</v>
      </c>
      <c r="M408" s="158">
        <v>100000</v>
      </c>
      <c r="N408" s="159">
        <v>100000</v>
      </c>
      <c r="O408" s="158">
        <v>100000</v>
      </c>
      <c r="P408" s="159">
        <v>100000</v>
      </c>
      <c r="Q408" s="165">
        <f t="shared" ref="Q408:R413" si="313">O408-M408</f>
        <v>0</v>
      </c>
      <c r="R408" s="166">
        <f t="shared" si="313"/>
        <v>0</v>
      </c>
      <c r="S408" s="156">
        <v>30000</v>
      </c>
      <c r="T408" s="160"/>
      <c r="U408" s="157">
        <f>+S408</f>
        <v>30000</v>
      </c>
      <c r="V408" s="161">
        <v>100000</v>
      </c>
      <c r="W408" s="158">
        <v>100000</v>
      </c>
      <c r="X408" s="160"/>
      <c r="Y408" s="160"/>
      <c r="Z408" s="160"/>
      <c r="AA408" s="160"/>
      <c r="AB408" s="159">
        <f>W408</f>
        <v>100000</v>
      </c>
      <c r="AC408" s="158">
        <f t="shared" si="305"/>
        <v>0</v>
      </c>
      <c r="AD408" s="160"/>
      <c r="AE408" s="160"/>
      <c r="AF408" s="157"/>
      <c r="AG408" s="157"/>
      <c r="AH408" s="159"/>
      <c r="AI408" s="35">
        <f t="shared" si="306"/>
        <v>0</v>
      </c>
      <c r="AJ408" s="11">
        <f t="shared" si="307"/>
        <v>0</v>
      </c>
      <c r="AK408" s="11">
        <f t="shared" si="308"/>
        <v>0</v>
      </c>
      <c r="AL408" s="11">
        <f t="shared" si="309"/>
        <v>0</v>
      </c>
      <c r="AM408" s="76">
        <f t="shared" si="310"/>
        <v>100000</v>
      </c>
      <c r="AN408" s="51">
        <f t="shared" si="311"/>
        <v>100000</v>
      </c>
      <c r="AO408" s="36"/>
      <c r="AP408" s="9"/>
      <c r="AQ408" s="9"/>
      <c r="AR408" s="9"/>
      <c r="AS408" s="9"/>
      <c r="AT408" s="9"/>
      <c r="AU408" s="9"/>
      <c r="AV408" s="9">
        <f t="shared" si="312"/>
        <v>0</v>
      </c>
      <c r="AW408" s="10">
        <f t="shared" si="271"/>
        <v>0</v>
      </c>
      <c r="AY408" s="11">
        <f t="shared" si="300"/>
        <v>0</v>
      </c>
    </row>
    <row r="409" spans="5:56" ht="60" customHeight="1" x14ac:dyDescent="0.2">
      <c r="E409" s="151">
        <f t="shared" si="304"/>
        <v>50103</v>
      </c>
      <c r="F409" s="170" t="s">
        <v>208</v>
      </c>
      <c r="G409" s="156"/>
      <c r="H409" s="157"/>
      <c r="I409" s="158"/>
      <c r="J409" s="159"/>
      <c r="K409" s="158"/>
      <c r="L409" s="159"/>
      <c r="M409" s="158"/>
      <c r="N409" s="159"/>
      <c r="O409" s="158">
        <v>1000000</v>
      </c>
      <c r="P409" s="159">
        <v>150000</v>
      </c>
      <c r="Q409" s="165">
        <f t="shared" si="313"/>
        <v>1000000</v>
      </c>
      <c r="R409" s="166">
        <f t="shared" si="313"/>
        <v>150000</v>
      </c>
      <c r="S409" s="156"/>
      <c r="T409" s="160"/>
      <c r="U409" s="157"/>
      <c r="V409" s="161">
        <v>1000000</v>
      </c>
      <c r="W409" s="158">
        <v>0</v>
      </c>
      <c r="X409" s="160"/>
      <c r="Y409" s="160"/>
      <c r="Z409" s="160">
        <f>W409</f>
        <v>0</v>
      </c>
      <c r="AA409" s="160"/>
      <c r="AB409" s="159"/>
      <c r="AC409" s="158">
        <f t="shared" si="305"/>
        <v>1000000</v>
      </c>
      <c r="AD409" s="160"/>
      <c r="AE409" s="160"/>
      <c r="AF409" s="157"/>
      <c r="AG409" s="157"/>
      <c r="AH409" s="159">
        <f>V409-Z409</f>
        <v>1000000</v>
      </c>
      <c r="AI409" s="35">
        <f t="shared" si="306"/>
        <v>0</v>
      </c>
      <c r="AJ409" s="11">
        <f t="shared" si="307"/>
        <v>0</v>
      </c>
      <c r="AK409" s="11">
        <f t="shared" si="308"/>
        <v>0</v>
      </c>
      <c r="AL409" s="11">
        <f t="shared" si="309"/>
        <v>0</v>
      </c>
      <c r="AM409" s="76">
        <f t="shared" si="310"/>
        <v>1000000</v>
      </c>
      <c r="AN409" s="51">
        <f t="shared" si="311"/>
        <v>1000000</v>
      </c>
      <c r="AO409" s="36"/>
      <c r="AP409" s="9"/>
      <c r="AQ409" s="9"/>
      <c r="AR409" s="9"/>
      <c r="AS409" s="9"/>
      <c r="AT409" s="9"/>
      <c r="AU409" s="9"/>
      <c r="AV409" s="9">
        <f t="shared" si="312"/>
        <v>0</v>
      </c>
      <c r="AW409" s="10">
        <f t="shared" si="271"/>
        <v>0</v>
      </c>
      <c r="AY409" s="11">
        <f t="shared" si="300"/>
        <v>0</v>
      </c>
    </row>
    <row r="410" spans="5:56" ht="60" customHeight="1" x14ac:dyDescent="0.2">
      <c r="E410" s="151">
        <f t="shared" si="304"/>
        <v>50104</v>
      </c>
      <c r="F410" s="170" t="s">
        <v>336</v>
      </c>
      <c r="G410" s="156"/>
      <c r="H410" s="157"/>
      <c r="I410" s="158"/>
      <c r="J410" s="159"/>
      <c r="K410" s="158"/>
      <c r="L410" s="159"/>
      <c r="M410" s="158"/>
      <c r="N410" s="159"/>
      <c r="O410" s="158">
        <v>200000</v>
      </c>
      <c r="P410" s="159">
        <v>100000</v>
      </c>
      <c r="Q410" s="165">
        <f t="shared" si="313"/>
        <v>200000</v>
      </c>
      <c r="R410" s="166">
        <f t="shared" si="313"/>
        <v>100000</v>
      </c>
      <c r="S410" s="156">
        <v>70000</v>
      </c>
      <c r="T410" s="160"/>
      <c r="U410" s="157">
        <f>+S410</f>
        <v>70000</v>
      </c>
      <c r="V410" s="161">
        <v>100000</v>
      </c>
      <c r="W410" s="158">
        <v>100000</v>
      </c>
      <c r="X410" s="160"/>
      <c r="Y410" s="160"/>
      <c r="Z410" s="160"/>
      <c r="AA410" s="160"/>
      <c r="AB410" s="159">
        <f>W410</f>
        <v>100000</v>
      </c>
      <c r="AC410" s="158">
        <f t="shared" si="305"/>
        <v>0</v>
      </c>
      <c r="AD410" s="160"/>
      <c r="AE410" s="160"/>
      <c r="AF410" s="157"/>
      <c r="AG410" s="157"/>
      <c r="AH410" s="159"/>
      <c r="AI410" s="35">
        <f t="shared" si="306"/>
        <v>0</v>
      </c>
      <c r="AJ410" s="11">
        <f t="shared" si="307"/>
        <v>0</v>
      </c>
      <c r="AK410" s="11">
        <f t="shared" si="308"/>
        <v>0</v>
      </c>
      <c r="AL410" s="11">
        <f t="shared" si="309"/>
        <v>0</v>
      </c>
      <c r="AM410" s="76">
        <f t="shared" si="310"/>
        <v>100000</v>
      </c>
      <c r="AN410" s="51">
        <f t="shared" si="311"/>
        <v>100000</v>
      </c>
      <c r="AO410" s="36"/>
      <c r="AP410" s="9"/>
      <c r="AQ410" s="9"/>
      <c r="AR410" s="9"/>
      <c r="AS410" s="9"/>
      <c r="AT410" s="9"/>
      <c r="AU410" s="9"/>
      <c r="AV410" s="9">
        <f t="shared" si="312"/>
        <v>0</v>
      </c>
      <c r="AW410" s="10"/>
      <c r="AY410" s="11">
        <f t="shared" si="300"/>
        <v>0</v>
      </c>
    </row>
    <row r="411" spans="5:56" ht="60" customHeight="1" x14ac:dyDescent="0.2">
      <c r="E411" s="151">
        <f t="shared" si="304"/>
        <v>50105</v>
      </c>
      <c r="F411" s="170" t="s">
        <v>209</v>
      </c>
      <c r="G411" s="156"/>
      <c r="H411" s="157"/>
      <c r="I411" s="158"/>
      <c r="J411" s="159"/>
      <c r="K411" s="158"/>
      <c r="L411" s="159"/>
      <c r="M411" s="158">
        <v>2000000</v>
      </c>
      <c r="N411" s="159">
        <v>2000000</v>
      </c>
      <c r="O411" s="158"/>
      <c r="P411" s="159"/>
      <c r="Q411" s="165">
        <f t="shared" si="313"/>
        <v>-2000000</v>
      </c>
      <c r="R411" s="166">
        <f t="shared" si="313"/>
        <v>-2000000</v>
      </c>
      <c r="S411" s="156">
        <v>1700000</v>
      </c>
      <c r="T411" s="160"/>
      <c r="U411" s="164">
        <f>+S411</f>
        <v>1700000</v>
      </c>
      <c r="V411" s="161">
        <v>1500000</v>
      </c>
      <c r="W411" s="158">
        <v>0</v>
      </c>
      <c r="X411" s="160"/>
      <c r="Y411" s="160"/>
      <c r="Z411" s="160">
        <f>W411</f>
        <v>0</v>
      </c>
      <c r="AA411" s="160"/>
      <c r="AB411" s="159"/>
      <c r="AC411" s="158">
        <f t="shared" si="305"/>
        <v>1500000</v>
      </c>
      <c r="AD411" s="160"/>
      <c r="AE411" s="160"/>
      <c r="AF411" s="157"/>
      <c r="AG411" s="157"/>
      <c r="AH411" s="159">
        <f>V411-Z411</f>
        <v>1500000</v>
      </c>
      <c r="AI411" s="35">
        <f t="shared" si="306"/>
        <v>0</v>
      </c>
      <c r="AJ411" s="11">
        <f t="shared" si="307"/>
        <v>0</v>
      </c>
      <c r="AK411" s="11">
        <f t="shared" si="308"/>
        <v>0</v>
      </c>
      <c r="AL411" s="11">
        <f t="shared" si="309"/>
        <v>0</v>
      </c>
      <c r="AM411" s="76">
        <f t="shared" si="310"/>
        <v>1500000</v>
      </c>
      <c r="AN411" s="51">
        <f t="shared" si="311"/>
        <v>1500000</v>
      </c>
      <c r="AO411" s="36"/>
      <c r="AP411" s="9"/>
      <c r="AQ411" s="9"/>
      <c r="AR411" s="9"/>
      <c r="AS411" s="9"/>
      <c r="AT411" s="9"/>
      <c r="AU411" s="9"/>
      <c r="AV411" s="9">
        <f t="shared" si="312"/>
        <v>0</v>
      </c>
      <c r="AW411" s="10">
        <f t="shared" si="271"/>
        <v>0</v>
      </c>
      <c r="AY411" s="11">
        <f t="shared" si="300"/>
        <v>0</v>
      </c>
    </row>
    <row r="412" spans="5:56" ht="60" customHeight="1" x14ac:dyDescent="0.2">
      <c r="E412" s="151">
        <f t="shared" si="304"/>
        <v>50106</v>
      </c>
      <c r="F412" s="170" t="s">
        <v>210</v>
      </c>
      <c r="G412" s="156">
        <v>500000</v>
      </c>
      <c r="H412" s="157">
        <v>500000</v>
      </c>
      <c r="I412" s="158"/>
      <c r="J412" s="159"/>
      <c r="K412" s="158">
        <v>200000</v>
      </c>
      <c r="L412" s="159">
        <f>50000+150000</f>
        <v>200000</v>
      </c>
      <c r="M412" s="158">
        <v>200000</v>
      </c>
      <c r="N412" s="159">
        <v>200000</v>
      </c>
      <c r="O412" s="158">
        <v>1850000</v>
      </c>
      <c r="P412" s="159">
        <v>850000</v>
      </c>
      <c r="Q412" s="165">
        <f t="shared" si="313"/>
        <v>1650000</v>
      </c>
      <c r="R412" s="166">
        <f t="shared" si="313"/>
        <v>650000</v>
      </c>
      <c r="S412" s="156">
        <v>850000</v>
      </c>
      <c r="T412" s="160"/>
      <c r="U412" s="157">
        <f>+S412</f>
        <v>850000</v>
      </c>
      <c r="V412" s="161">
        <v>1000000</v>
      </c>
      <c r="W412" s="158">
        <v>0</v>
      </c>
      <c r="X412" s="160"/>
      <c r="Y412" s="160"/>
      <c r="Z412" s="160">
        <f>W412</f>
        <v>0</v>
      </c>
      <c r="AA412" s="160"/>
      <c r="AB412" s="159"/>
      <c r="AC412" s="158">
        <f t="shared" si="305"/>
        <v>1000000</v>
      </c>
      <c r="AD412" s="160"/>
      <c r="AE412" s="160"/>
      <c r="AF412" s="157"/>
      <c r="AG412" s="157"/>
      <c r="AH412" s="159">
        <f>V412-Z412</f>
        <v>1000000</v>
      </c>
      <c r="AI412" s="35">
        <f t="shared" si="306"/>
        <v>0</v>
      </c>
      <c r="AJ412" s="11">
        <f t="shared" si="307"/>
        <v>0</v>
      </c>
      <c r="AK412" s="11">
        <f t="shared" si="308"/>
        <v>0</v>
      </c>
      <c r="AL412" s="11">
        <f t="shared" si="309"/>
        <v>0</v>
      </c>
      <c r="AM412" s="76">
        <f t="shared" si="310"/>
        <v>1000000</v>
      </c>
      <c r="AN412" s="51">
        <f t="shared" si="311"/>
        <v>1000000</v>
      </c>
      <c r="AO412" s="36"/>
      <c r="AP412" s="9"/>
      <c r="AQ412" s="9"/>
      <c r="AR412" s="9"/>
      <c r="AS412" s="9"/>
      <c r="AT412" s="9"/>
      <c r="AU412" s="9"/>
      <c r="AV412" s="9">
        <f t="shared" si="312"/>
        <v>0</v>
      </c>
      <c r="AW412" s="10">
        <f>AP412-AQ412-AV412</f>
        <v>0</v>
      </c>
      <c r="AY412" s="11">
        <f t="shared" si="300"/>
        <v>0</v>
      </c>
    </row>
    <row r="413" spans="5:56" ht="60" customHeight="1" x14ac:dyDescent="0.2">
      <c r="E413" s="151">
        <f t="shared" si="304"/>
        <v>50107</v>
      </c>
      <c r="F413" s="170" t="s">
        <v>337</v>
      </c>
      <c r="G413" s="156"/>
      <c r="H413" s="157"/>
      <c r="I413" s="158"/>
      <c r="J413" s="159"/>
      <c r="K413" s="158"/>
      <c r="L413" s="159"/>
      <c r="M413" s="158"/>
      <c r="N413" s="159"/>
      <c r="O413" s="158">
        <v>450000</v>
      </c>
      <c r="P413" s="159">
        <v>150000</v>
      </c>
      <c r="Q413" s="165">
        <f t="shared" si="313"/>
        <v>450000</v>
      </c>
      <c r="R413" s="166">
        <f t="shared" si="313"/>
        <v>150000</v>
      </c>
      <c r="S413" s="156">
        <v>10000</v>
      </c>
      <c r="T413" s="160"/>
      <c r="U413" s="164">
        <f>+S413</f>
        <v>10000</v>
      </c>
      <c r="V413" s="161">
        <v>1000000</v>
      </c>
      <c r="W413" s="158">
        <v>0</v>
      </c>
      <c r="X413" s="160"/>
      <c r="Y413" s="160">
        <f>W413</f>
        <v>0</v>
      </c>
      <c r="Z413" s="160"/>
      <c r="AA413" s="160"/>
      <c r="AB413" s="159"/>
      <c r="AC413" s="158">
        <f t="shared" si="305"/>
        <v>1000000</v>
      </c>
      <c r="AD413" s="160"/>
      <c r="AE413" s="160"/>
      <c r="AF413" s="157"/>
      <c r="AG413" s="157">
        <f>AC413</f>
        <v>1000000</v>
      </c>
      <c r="AH413" s="159"/>
      <c r="AI413" s="35">
        <f t="shared" si="306"/>
        <v>0</v>
      </c>
      <c r="AJ413" s="11">
        <f t="shared" si="307"/>
        <v>0</v>
      </c>
      <c r="AK413" s="11">
        <f t="shared" si="308"/>
        <v>0</v>
      </c>
      <c r="AL413" s="11">
        <f t="shared" si="309"/>
        <v>1000000</v>
      </c>
      <c r="AM413" s="76">
        <f t="shared" si="310"/>
        <v>0</v>
      </c>
      <c r="AN413" s="51">
        <f t="shared" si="311"/>
        <v>1000000</v>
      </c>
      <c r="AO413" s="36"/>
      <c r="AP413" s="9"/>
      <c r="AQ413" s="9"/>
      <c r="AR413" s="9"/>
      <c r="AS413" s="9"/>
      <c r="AT413" s="9"/>
      <c r="AU413" s="9"/>
      <c r="AV413" s="9"/>
      <c r="AW413" s="10"/>
      <c r="AY413" s="11">
        <f t="shared" si="300"/>
        <v>0</v>
      </c>
    </row>
    <row r="414" spans="5:56" ht="60" customHeight="1" x14ac:dyDescent="0.2">
      <c r="E414" s="149"/>
      <c r="F414" s="127" t="s">
        <v>211</v>
      </c>
      <c r="G414" s="118">
        <f t="shared" ref="G414:AV414" si="314">SUM(G407:G413)</f>
        <v>1100000</v>
      </c>
      <c r="H414" s="116">
        <f t="shared" si="314"/>
        <v>1100000</v>
      </c>
      <c r="I414" s="115">
        <f t="shared" si="314"/>
        <v>850000</v>
      </c>
      <c r="J414" s="117">
        <f t="shared" si="314"/>
        <v>850000</v>
      </c>
      <c r="K414" s="115">
        <f t="shared" si="314"/>
        <v>1150000</v>
      </c>
      <c r="L414" s="117">
        <f t="shared" si="314"/>
        <v>1150000</v>
      </c>
      <c r="M414" s="115">
        <f t="shared" si="314"/>
        <v>3150000</v>
      </c>
      <c r="N414" s="117">
        <f t="shared" si="314"/>
        <v>3150000</v>
      </c>
      <c r="O414" s="115">
        <f t="shared" si="314"/>
        <v>5600000</v>
      </c>
      <c r="P414" s="117">
        <f t="shared" si="314"/>
        <v>2310000</v>
      </c>
      <c r="Q414" s="115">
        <f t="shared" si="314"/>
        <v>2450000</v>
      </c>
      <c r="R414" s="117">
        <f t="shared" si="314"/>
        <v>-840000</v>
      </c>
      <c r="S414" s="118">
        <f t="shared" si="314"/>
        <v>3060000</v>
      </c>
      <c r="T414" s="120">
        <f t="shared" si="314"/>
        <v>0</v>
      </c>
      <c r="U414" s="116">
        <f t="shared" si="314"/>
        <v>3060000</v>
      </c>
      <c r="V414" s="119">
        <f t="shared" si="314"/>
        <v>7200000</v>
      </c>
      <c r="W414" s="115">
        <f t="shared" si="314"/>
        <v>1200000</v>
      </c>
      <c r="X414" s="120">
        <f t="shared" si="314"/>
        <v>0</v>
      </c>
      <c r="Y414" s="120">
        <f t="shared" si="314"/>
        <v>0</v>
      </c>
      <c r="Z414" s="120">
        <f t="shared" si="314"/>
        <v>0</v>
      </c>
      <c r="AA414" s="120">
        <f t="shared" si="314"/>
        <v>500000</v>
      </c>
      <c r="AB414" s="117">
        <f t="shared" si="314"/>
        <v>700000</v>
      </c>
      <c r="AC414" s="115">
        <f t="shared" si="314"/>
        <v>6000000</v>
      </c>
      <c r="AD414" s="120">
        <f t="shared" si="314"/>
        <v>0</v>
      </c>
      <c r="AE414" s="120">
        <f t="shared" si="314"/>
        <v>0</v>
      </c>
      <c r="AF414" s="116">
        <f t="shared" si="314"/>
        <v>0</v>
      </c>
      <c r="AG414" s="116">
        <f t="shared" si="314"/>
        <v>1750000</v>
      </c>
      <c r="AH414" s="117">
        <f t="shared" si="314"/>
        <v>4250000</v>
      </c>
      <c r="AI414" s="47">
        <f t="shared" si="314"/>
        <v>0</v>
      </c>
      <c r="AJ414" s="10">
        <f t="shared" si="314"/>
        <v>0</v>
      </c>
      <c r="AK414" s="10">
        <f t="shared" si="314"/>
        <v>0</v>
      </c>
      <c r="AL414" s="10">
        <f t="shared" si="314"/>
        <v>2250000</v>
      </c>
      <c r="AM414" s="48">
        <f t="shared" si="314"/>
        <v>4950000</v>
      </c>
      <c r="AN414" s="52">
        <f t="shared" si="314"/>
        <v>7200000</v>
      </c>
      <c r="AO414" s="39">
        <f t="shared" si="314"/>
        <v>0</v>
      </c>
      <c r="AP414" s="10">
        <f t="shared" si="314"/>
        <v>0</v>
      </c>
      <c r="AQ414" s="10">
        <f t="shared" si="314"/>
        <v>0</v>
      </c>
      <c r="AR414" s="10">
        <f t="shared" si="314"/>
        <v>0</v>
      </c>
      <c r="AS414" s="10">
        <f t="shared" si="314"/>
        <v>0</v>
      </c>
      <c r="AT414" s="10">
        <f t="shared" si="314"/>
        <v>0</v>
      </c>
      <c r="AU414" s="10">
        <f t="shared" si="314"/>
        <v>0</v>
      </c>
      <c r="AV414" s="10">
        <f t="shared" si="314"/>
        <v>0</v>
      </c>
      <c r="AW414" s="10">
        <f t="shared" si="271"/>
        <v>0</v>
      </c>
      <c r="AY414" s="11">
        <f t="shared" si="300"/>
        <v>0</v>
      </c>
    </row>
    <row r="415" spans="5:56" ht="60" customHeight="1" x14ac:dyDescent="0.2">
      <c r="E415" s="151">
        <v>50200</v>
      </c>
      <c r="F415" s="155" t="s">
        <v>212</v>
      </c>
      <c r="G415" s="156"/>
      <c r="H415" s="157"/>
      <c r="I415" s="158"/>
      <c r="J415" s="159"/>
      <c r="K415" s="158"/>
      <c r="L415" s="159"/>
      <c r="M415" s="158"/>
      <c r="N415" s="159"/>
      <c r="O415" s="158"/>
      <c r="P415" s="159"/>
      <c r="Q415" s="158"/>
      <c r="R415" s="159"/>
      <c r="S415" s="156"/>
      <c r="T415" s="160"/>
      <c r="U415" s="157"/>
      <c r="V415" s="161"/>
      <c r="W415" s="158"/>
      <c r="X415" s="160"/>
      <c r="Y415" s="160"/>
      <c r="Z415" s="160"/>
      <c r="AA415" s="160"/>
      <c r="AB415" s="159"/>
      <c r="AC415" s="158"/>
      <c r="AD415" s="160"/>
      <c r="AE415" s="160"/>
      <c r="AF415" s="157"/>
      <c r="AG415" s="157"/>
      <c r="AH415" s="159"/>
      <c r="AI415" s="45"/>
      <c r="AJ415" s="9"/>
      <c r="AK415" s="9"/>
      <c r="AL415" s="9"/>
      <c r="AM415" s="46"/>
      <c r="AN415" s="50"/>
      <c r="AO415" s="36"/>
      <c r="AP415" s="9"/>
      <c r="AQ415" s="9"/>
      <c r="AR415" s="9"/>
      <c r="AS415" s="9"/>
      <c r="AT415" s="9"/>
      <c r="AU415" s="9"/>
      <c r="AV415" s="9"/>
      <c r="AW415" s="10">
        <f t="shared" si="271"/>
        <v>0</v>
      </c>
      <c r="AY415" s="11">
        <f t="shared" si="300"/>
        <v>0</v>
      </c>
    </row>
    <row r="416" spans="5:56" ht="60" customHeight="1" x14ac:dyDescent="0.2">
      <c r="E416" s="151">
        <f>+E415+1</f>
        <v>50201</v>
      </c>
      <c r="F416" s="170" t="s">
        <v>213</v>
      </c>
      <c r="G416" s="156">
        <v>1800000</v>
      </c>
      <c r="H416" s="157">
        <v>1800000</v>
      </c>
      <c r="I416" s="158">
        <v>820000</v>
      </c>
      <c r="J416" s="159">
        <v>811000</v>
      </c>
      <c r="K416" s="158">
        <v>2810000</v>
      </c>
      <c r="L416" s="159">
        <f>250000+250000+200000+250000+250000+300000+300000+400000+360000+250000</f>
        <v>2810000</v>
      </c>
      <c r="M416" s="158">
        <v>3068000</v>
      </c>
      <c r="N416" s="159">
        <f>207150+1200000+600000+700000+360000</f>
        <v>3067150</v>
      </c>
      <c r="O416" s="158">
        <v>3000000</v>
      </c>
      <c r="P416" s="159">
        <v>3000000</v>
      </c>
      <c r="Q416" s="165">
        <f>O416-M416</f>
        <v>-68000</v>
      </c>
      <c r="R416" s="166">
        <f>P416-N416</f>
        <v>-67150</v>
      </c>
      <c r="S416" s="156">
        <v>500000</v>
      </c>
      <c r="T416" s="160"/>
      <c r="U416" s="157">
        <f>+S416</f>
        <v>500000</v>
      </c>
      <c r="V416" s="161">
        <v>1500000</v>
      </c>
      <c r="W416" s="158">
        <v>1000000</v>
      </c>
      <c r="X416" s="160"/>
      <c r="Y416" s="160"/>
      <c r="Z416" s="160"/>
      <c r="AA416" s="160">
        <f>W416/2</f>
        <v>500000</v>
      </c>
      <c r="AB416" s="159">
        <f>W416-AA416</f>
        <v>500000</v>
      </c>
      <c r="AC416" s="158">
        <f t="shared" ref="AC416:AC426" si="315">V416-W416</f>
        <v>500000</v>
      </c>
      <c r="AD416" s="160"/>
      <c r="AE416" s="160"/>
      <c r="AF416" s="157"/>
      <c r="AG416" s="160">
        <f>AC416/2</f>
        <v>250000</v>
      </c>
      <c r="AH416" s="159">
        <f>AC416-AG416</f>
        <v>250000</v>
      </c>
      <c r="AI416" s="35">
        <f t="shared" ref="AI416:AI426" si="316">AD416+X416</f>
        <v>0</v>
      </c>
      <c r="AJ416" s="11">
        <f t="shared" ref="AJ416:AJ426" si="317">AE416+Y416</f>
        <v>0</v>
      </c>
      <c r="AK416" s="11">
        <f t="shared" ref="AK416:AK426" si="318">AF416+Z416</f>
        <v>0</v>
      </c>
      <c r="AL416" s="11">
        <f t="shared" ref="AL416:AL426" si="319">AG416+AA416</f>
        <v>750000</v>
      </c>
      <c r="AM416" s="76">
        <f t="shared" ref="AM416:AM426" si="320">AH416+AB416</f>
        <v>750000</v>
      </c>
      <c r="AN416" s="51">
        <f t="shared" ref="AN416:AN426" si="321">SUM(AJ416:AM416)</f>
        <v>1500000</v>
      </c>
      <c r="AO416" s="36"/>
      <c r="AP416" s="9"/>
      <c r="AQ416" s="9"/>
      <c r="AR416" s="9"/>
      <c r="AS416" s="9"/>
      <c r="AT416" s="9"/>
      <c r="AU416" s="9"/>
      <c r="AV416" s="9">
        <f t="shared" ref="AV416:AV425" si="322">AU416+AT416+AS416+AR416</f>
        <v>0</v>
      </c>
      <c r="AW416" s="10">
        <f t="shared" si="271"/>
        <v>0</v>
      </c>
      <c r="AY416" s="11">
        <f t="shared" si="300"/>
        <v>0</v>
      </c>
    </row>
    <row r="417" spans="5:51" ht="60" customHeight="1" x14ac:dyDescent="0.2">
      <c r="E417" s="151">
        <f t="shared" ref="E417:E426" si="323">+E416+1</f>
        <v>50202</v>
      </c>
      <c r="F417" s="170" t="s">
        <v>214</v>
      </c>
      <c r="G417" s="156">
        <v>2324000</v>
      </c>
      <c r="H417" s="157">
        <v>2324000</v>
      </c>
      <c r="I417" s="158">
        <v>1200000</v>
      </c>
      <c r="J417" s="159">
        <f>I417</f>
        <v>1200000</v>
      </c>
      <c r="K417" s="158">
        <f>800000-300000</f>
        <v>500000</v>
      </c>
      <c r="L417" s="159">
        <v>200000</v>
      </c>
      <c r="M417" s="158">
        <v>500000</v>
      </c>
      <c r="N417" s="159">
        <v>500000</v>
      </c>
      <c r="O417" s="158">
        <v>400000</v>
      </c>
      <c r="P417" s="159">
        <v>300000</v>
      </c>
      <c r="Q417" s="165">
        <f t="shared" ref="Q417:R426" si="324">O417-M417</f>
        <v>-100000</v>
      </c>
      <c r="R417" s="166">
        <f t="shared" si="324"/>
        <v>-200000</v>
      </c>
      <c r="S417" s="156"/>
      <c r="T417" s="160"/>
      <c r="U417" s="157"/>
      <c r="V417" s="161">
        <v>500000</v>
      </c>
      <c r="W417" s="158">
        <v>500000</v>
      </c>
      <c r="X417" s="160"/>
      <c r="Y417" s="160"/>
      <c r="Z417" s="160"/>
      <c r="AA417" s="160">
        <f>W417</f>
        <v>500000</v>
      </c>
      <c r="AB417" s="159"/>
      <c r="AC417" s="158">
        <f t="shared" si="315"/>
        <v>0</v>
      </c>
      <c r="AD417" s="160"/>
      <c r="AE417" s="160"/>
      <c r="AF417" s="157"/>
      <c r="AG417" s="157"/>
      <c r="AH417" s="159"/>
      <c r="AI417" s="35">
        <f t="shared" si="316"/>
        <v>0</v>
      </c>
      <c r="AJ417" s="11">
        <f t="shared" si="317"/>
        <v>0</v>
      </c>
      <c r="AK417" s="11">
        <f t="shared" si="318"/>
        <v>0</v>
      </c>
      <c r="AL417" s="11">
        <f t="shared" si="319"/>
        <v>500000</v>
      </c>
      <c r="AM417" s="76">
        <f t="shared" si="320"/>
        <v>0</v>
      </c>
      <c r="AN417" s="51">
        <f t="shared" si="321"/>
        <v>500000</v>
      </c>
      <c r="AO417" s="36"/>
      <c r="AP417" s="9"/>
      <c r="AQ417" s="9"/>
      <c r="AR417" s="9"/>
      <c r="AS417" s="9"/>
      <c r="AT417" s="9"/>
      <c r="AU417" s="9"/>
      <c r="AV417" s="9">
        <f t="shared" si="322"/>
        <v>0</v>
      </c>
      <c r="AW417" s="10">
        <f t="shared" si="271"/>
        <v>0</v>
      </c>
      <c r="AY417" s="11">
        <f t="shared" si="300"/>
        <v>0</v>
      </c>
    </row>
    <row r="418" spans="5:51" ht="60" customHeight="1" x14ac:dyDescent="0.2">
      <c r="E418" s="151">
        <f t="shared" si="323"/>
        <v>50203</v>
      </c>
      <c r="F418" s="170" t="s">
        <v>418</v>
      </c>
      <c r="G418" s="156"/>
      <c r="H418" s="157"/>
      <c r="I418" s="158"/>
      <c r="J418" s="159"/>
      <c r="K418" s="158"/>
      <c r="L418" s="159"/>
      <c r="M418" s="158"/>
      <c r="N418" s="159"/>
      <c r="O418" s="158">
        <v>2050000</v>
      </c>
      <c r="P418" s="159"/>
      <c r="Q418" s="165">
        <f t="shared" si="324"/>
        <v>2050000</v>
      </c>
      <c r="R418" s="166">
        <f t="shared" si="324"/>
        <v>0</v>
      </c>
      <c r="S418" s="156"/>
      <c r="T418" s="160"/>
      <c r="U418" s="157"/>
      <c r="V418" s="161">
        <v>550000</v>
      </c>
      <c r="W418" s="158">
        <v>0</v>
      </c>
      <c r="X418" s="160"/>
      <c r="Y418" s="160">
        <f>W418</f>
        <v>0</v>
      </c>
      <c r="Z418" s="160"/>
      <c r="AA418" s="160"/>
      <c r="AB418" s="159"/>
      <c r="AC418" s="158">
        <f t="shared" si="315"/>
        <v>550000</v>
      </c>
      <c r="AD418" s="160"/>
      <c r="AE418" s="160"/>
      <c r="AF418" s="157"/>
      <c r="AG418" s="157">
        <f>AC418</f>
        <v>550000</v>
      </c>
      <c r="AH418" s="159"/>
      <c r="AI418" s="35">
        <f t="shared" si="316"/>
        <v>0</v>
      </c>
      <c r="AJ418" s="11">
        <f t="shared" si="317"/>
        <v>0</v>
      </c>
      <c r="AK418" s="11">
        <f t="shared" si="318"/>
        <v>0</v>
      </c>
      <c r="AL418" s="11">
        <f t="shared" si="319"/>
        <v>550000</v>
      </c>
      <c r="AM418" s="76">
        <f t="shared" si="320"/>
        <v>0</v>
      </c>
      <c r="AN418" s="51">
        <f t="shared" si="321"/>
        <v>550000</v>
      </c>
      <c r="AO418" s="36"/>
      <c r="AP418" s="9"/>
      <c r="AQ418" s="9"/>
      <c r="AR418" s="9"/>
      <c r="AS418" s="9"/>
      <c r="AT418" s="9"/>
      <c r="AU418" s="9"/>
      <c r="AV418" s="9"/>
      <c r="AW418" s="10"/>
      <c r="AY418" s="11"/>
    </row>
    <row r="419" spans="5:51" ht="60" customHeight="1" x14ac:dyDescent="0.2">
      <c r="E419" s="151">
        <f t="shared" si="323"/>
        <v>50204</v>
      </c>
      <c r="F419" s="170" t="s">
        <v>419</v>
      </c>
      <c r="G419" s="156"/>
      <c r="H419" s="157"/>
      <c r="I419" s="158"/>
      <c r="J419" s="159"/>
      <c r="K419" s="158"/>
      <c r="L419" s="159"/>
      <c r="M419" s="158"/>
      <c r="N419" s="159"/>
      <c r="O419" s="158">
        <v>2151000</v>
      </c>
      <c r="P419" s="159">
        <v>1650000</v>
      </c>
      <c r="Q419" s="165">
        <f t="shared" si="324"/>
        <v>2151000</v>
      </c>
      <c r="R419" s="166">
        <f t="shared" si="324"/>
        <v>1650000</v>
      </c>
      <c r="S419" s="156">
        <v>1950000</v>
      </c>
      <c r="T419" s="160"/>
      <c r="U419" s="157">
        <f>+S419</f>
        <v>1950000</v>
      </c>
      <c r="V419" s="161">
        <f>600000+300000+1500000+100000</f>
        <v>2500000</v>
      </c>
      <c r="W419" s="158">
        <v>900000</v>
      </c>
      <c r="X419" s="160"/>
      <c r="Y419" s="160"/>
      <c r="Z419" s="160"/>
      <c r="AA419" s="160">
        <f>W419</f>
        <v>900000</v>
      </c>
      <c r="AB419" s="159"/>
      <c r="AC419" s="158">
        <f t="shared" si="315"/>
        <v>1600000</v>
      </c>
      <c r="AD419" s="160"/>
      <c r="AE419" s="160"/>
      <c r="AF419" s="157"/>
      <c r="AG419" s="157">
        <f>AC419</f>
        <v>1600000</v>
      </c>
      <c r="AH419" s="159"/>
      <c r="AI419" s="35">
        <f t="shared" si="316"/>
        <v>0</v>
      </c>
      <c r="AJ419" s="11">
        <f t="shared" si="317"/>
        <v>0</v>
      </c>
      <c r="AK419" s="11">
        <f t="shared" si="318"/>
        <v>0</v>
      </c>
      <c r="AL419" s="11">
        <f t="shared" si="319"/>
        <v>2500000</v>
      </c>
      <c r="AM419" s="76">
        <f t="shared" si="320"/>
        <v>0</v>
      </c>
      <c r="AN419" s="51">
        <f t="shared" si="321"/>
        <v>2500000</v>
      </c>
      <c r="AO419" s="36"/>
      <c r="AP419" s="9"/>
      <c r="AQ419" s="9"/>
      <c r="AR419" s="9"/>
      <c r="AS419" s="9"/>
      <c r="AT419" s="9"/>
      <c r="AU419" s="9"/>
      <c r="AV419" s="9"/>
      <c r="AW419" s="10"/>
      <c r="AY419" s="11"/>
    </row>
    <row r="420" spans="5:51" ht="60" customHeight="1" x14ac:dyDescent="0.2">
      <c r="E420" s="151">
        <f t="shared" si="323"/>
        <v>50205</v>
      </c>
      <c r="F420" s="170" t="s">
        <v>215</v>
      </c>
      <c r="G420" s="156">
        <v>500000</v>
      </c>
      <c r="H420" s="157">
        <f>G420</f>
        <v>500000</v>
      </c>
      <c r="I420" s="158">
        <v>650000</v>
      </c>
      <c r="J420" s="159">
        <f>I420</f>
        <v>650000</v>
      </c>
      <c r="K420" s="158"/>
      <c r="L420" s="159"/>
      <c r="M420" s="158"/>
      <c r="N420" s="159"/>
      <c r="O420" s="158">
        <v>3050000</v>
      </c>
      <c r="P420" s="159">
        <v>2350000</v>
      </c>
      <c r="Q420" s="165">
        <f t="shared" si="324"/>
        <v>3050000</v>
      </c>
      <c r="R420" s="166">
        <f t="shared" si="324"/>
        <v>2350000</v>
      </c>
      <c r="S420" s="156">
        <v>300000</v>
      </c>
      <c r="T420" s="160"/>
      <c r="U420" s="157">
        <f>+S420</f>
        <v>300000</v>
      </c>
      <c r="V420" s="161">
        <f>2000000+800000+2500000</f>
        <v>5300000</v>
      </c>
      <c r="W420" s="158">
        <v>500000</v>
      </c>
      <c r="X420" s="160"/>
      <c r="Y420" s="160"/>
      <c r="Z420" s="160"/>
      <c r="AA420" s="160">
        <f>W420/2</f>
        <v>250000</v>
      </c>
      <c r="AB420" s="159">
        <f>W420-AA420</f>
        <v>250000</v>
      </c>
      <c r="AC420" s="158">
        <f t="shared" si="315"/>
        <v>4800000</v>
      </c>
      <c r="AD420" s="160"/>
      <c r="AE420" s="160"/>
      <c r="AF420" s="157"/>
      <c r="AG420" s="160">
        <f>AC420/2</f>
        <v>2400000</v>
      </c>
      <c r="AH420" s="159">
        <f>AC420-AG420</f>
        <v>2400000</v>
      </c>
      <c r="AI420" s="35">
        <f t="shared" si="316"/>
        <v>0</v>
      </c>
      <c r="AJ420" s="11">
        <f t="shared" si="317"/>
        <v>0</v>
      </c>
      <c r="AK420" s="11">
        <f t="shared" si="318"/>
        <v>0</v>
      </c>
      <c r="AL420" s="11">
        <f t="shared" si="319"/>
        <v>2650000</v>
      </c>
      <c r="AM420" s="76">
        <f t="shared" si="320"/>
        <v>2650000</v>
      </c>
      <c r="AN420" s="51">
        <f t="shared" si="321"/>
        <v>5300000</v>
      </c>
      <c r="AO420" s="36"/>
      <c r="AP420" s="9"/>
      <c r="AQ420" s="9"/>
      <c r="AR420" s="9"/>
      <c r="AS420" s="9"/>
      <c r="AT420" s="9"/>
      <c r="AU420" s="9"/>
      <c r="AV420" s="9">
        <f t="shared" si="322"/>
        <v>0</v>
      </c>
      <c r="AW420" s="10">
        <f t="shared" si="271"/>
        <v>0</v>
      </c>
      <c r="AY420" s="11">
        <f>V420-W420-AC420</f>
        <v>0</v>
      </c>
    </row>
    <row r="421" spans="5:51" ht="60" customHeight="1" x14ac:dyDescent="0.2">
      <c r="E421" s="151">
        <f t="shared" si="323"/>
        <v>50206</v>
      </c>
      <c r="F421" s="170" t="s">
        <v>420</v>
      </c>
      <c r="G421" s="156"/>
      <c r="H421" s="157"/>
      <c r="I421" s="158"/>
      <c r="J421" s="159"/>
      <c r="K421" s="158"/>
      <c r="L421" s="159"/>
      <c r="M421" s="158"/>
      <c r="N421" s="159"/>
      <c r="O421" s="158">
        <v>600000</v>
      </c>
      <c r="P421" s="159"/>
      <c r="Q421" s="165">
        <f t="shared" si="324"/>
        <v>600000</v>
      </c>
      <c r="R421" s="166">
        <f t="shared" si="324"/>
        <v>0</v>
      </c>
      <c r="S421" s="156"/>
      <c r="T421" s="160"/>
      <c r="U421" s="157"/>
      <c r="V421" s="161">
        <f>500000+100000</f>
        <v>600000</v>
      </c>
      <c r="W421" s="158">
        <v>0</v>
      </c>
      <c r="X421" s="160"/>
      <c r="Y421" s="160"/>
      <c r="Z421" s="160">
        <f>W421</f>
        <v>0</v>
      </c>
      <c r="AA421" s="160"/>
      <c r="AB421" s="159"/>
      <c r="AC421" s="158">
        <f t="shared" si="315"/>
        <v>600000</v>
      </c>
      <c r="AD421" s="160"/>
      <c r="AE421" s="160"/>
      <c r="AF421" s="157"/>
      <c r="AG421" s="160">
        <f>AC421/2</f>
        <v>300000</v>
      </c>
      <c r="AH421" s="159">
        <f>AC421-AG421</f>
        <v>300000</v>
      </c>
      <c r="AI421" s="35">
        <f t="shared" si="316"/>
        <v>0</v>
      </c>
      <c r="AJ421" s="11">
        <f t="shared" si="317"/>
        <v>0</v>
      </c>
      <c r="AK421" s="11">
        <f t="shared" si="318"/>
        <v>0</v>
      </c>
      <c r="AL421" s="11">
        <f t="shared" si="319"/>
        <v>300000</v>
      </c>
      <c r="AM421" s="76">
        <f t="shared" si="320"/>
        <v>300000</v>
      </c>
      <c r="AN421" s="51">
        <f t="shared" si="321"/>
        <v>600000</v>
      </c>
      <c r="AO421" s="36"/>
      <c r="AP421" s="9"/>
      <c r="AQ421" s="9"/>
      <c r="AR421" s="9"/>
      <c r="AS421" s="9"/>
      <c r="AT421" s="9"/>
      <c r="AU421" s="9"/>
      <c r="AV421" s="9"/>
      <c r="AW421" s="10"/>
      <c r="AY421" s="11"/>
    </row>
    <row r="422" spans="5:51" ht="60" customHeight="1" x14ac:dyDescent="0.2">
      <c r="E422" s="151">
        <f t="shared" si="323"/>
        <v>50207</v>
      </c>
      <c r="F422" s="170" t="s">
        <v>421</v>
      </c>
      <c r="G422" s="156"/>
      <c r="H422" s="157"/>
      <c r="I422" s="158"/>
      <c r="J422" s="159"/>
      <c r="K422" s="158"/>
      <c r="L422" s="159"/>
      <c r="M422" s="158"/>
      <c r="N422" s="159"/>
      <c r="O422" s="158">
        <v>400000</v>
      </c>
      <c r="P422" s="159"/>
      <c r="Q422" s="165">
        <f t="shared" si="324"/>
        <v>400000</v>
      </c>
      <c r="R422" s="166">
        <f t="shared" si="324"/>
        <v>0</v>
      </c>
      <c r="S422" s="156"/>
      <c r="T422" s="160"/>
      <c r="U422" s="157"/>
      <c r="V422" s="161">
        <v>300000</v>
      </c>
      <c r="W422" s="158">
        <v>300000</v>
      </c>
      <c r="X422" s="160"/>
      <c r="Y422" s="160"/>
      <c r="Z422" s="160"/>
      <c r="AA422" s="160">
        <f>W422/2</f>
        <v>150000</v>
      </c>
      <c r="AB422" s="159">
        <f>W422-AA422</f>
        <v>150000</v>
      </c>
      <c r="AC422" s="158">
        <f t="shared" si="315"/>
        <v>0</v>
      </c>
      <c r="AD422" s="160"/>
      <c r="AE422" s="160"/>
      <c r="AF422" s="157"/>
      <c r="AG422" s="157"/>
      <c r="AH422" s="159"/>
      <c r="AI422" s="35">
        <f t="shared" si="316"/>
        <v>0</v>
      </c>
      <c r="AJ422" s="11">
        <f t="shared" si="317"/>
        <v>0</v>
      </c>
      <c r="AK422" s="11">
        <f t="shared" si="318"/>
        <v>0</v>
      </c>
      <c r="AL422" s="11">
        <f t="shared" si="319"/>
        <v>150000</v>
      </c>
      <c r="AM422" s="76">
        <f t="shared" si="320"/>
        <v>150000</v>
      </c>
      <c r="AN422" s="51">
        <f t="shared" si="321"/>
        <v>300000</v>
      </c>
      <c r="AO422" s="36"/>
      <c r="AP422" s="9"/>
      <c r="AQ422" s="9"/>
      <c r="AR422" s="9"/>
      <c r="AS422" s="9"/>
      <c r="AT422" s="9"/>
      <c r="AU422" s="9"/>
      <c r="AV422" s="9"/>
      <c r="AW422" s="10"/>
      <c r="AY422" s="11"/>
    </row>
    <row r="423" spans="5:51" ht="60" customHeight="1" x14ac:dyDescent="0.2">
      <c r="E423" s="151">
        <f t="shared" si="323"/>
        <v>50208</v>
      </c>
      <c r="F423" s="170" t="s">
        <v>216</v>
      </c>
      <c r="G423" s="156"/>
      <c r="H423" s="157">
        <v>45000</v>
      </c>
      <c r="I423" s="158">
        <v>400000</v>
      </c>
      <c r="J423" s="159">
        <v>300000</v>
      </c>
      <c r="K423" s="158">
        <v>200000</v>
      </c>
      <c r="L423" s="159">
        <f>100000+100000</f>
        <v>200000</v>
      </c>
      <c r="M423" s="158">
        <v>200000</v>
      </c>
      <c r="N423" s="159">
        <v>200000</v>
      </c>
      <c r="O423" s="158">
        <v>250000</v>
      </c>
      <c r="P423" s="159">
        <v>250000</v>
      </c>
      <c r="Q423" s="165">
        <f t="shared" si="324"/>
        <v>50000</v>
      </c>
      <c r="R423" s="166">
        <f t="shared" si="324"/>
        <v>50000</v>
      </c>
      <c r="S423" s="156"/>
      <c r="T423" s="160"/>
      <c r="U423" s="157"/>
      <c r="V423" s="161">
        <v>2800000</v>
      </c>
      <c r="W423" s="158">
        <v>250000</v>
      </c>
      <c r="X423" s="160"/>
      <c r="Y423" s="160"/>
      <c r="Z423" s="160"/>
      <c r="AA423" s="160">
        <f>W423</f>
        <v>250000</v>
      </c>
      <c r="AB423" s="159"/>
      <c r="AC423" s="158">
        <f t="shared" si="315"/>
        <v>2550000</v>
      </c>
      <c r="AD423" s="160"/>
      <c r="AE423" s="160"/>
      <c r="AF423" s="157"/>
      <c r="AG423" s="160">
        <f>AC423/2</f>
        <v>1275000</v>
      </c>
      <c r="AH423" s="159">
        <f>AC423-AG423</f>
        <v>1275000</v>
      </c>
      <c r="AI423" s="35">
        <f t="shared" si="316"/>
        <v>0</v>
      </c>
      <c r="AJ423" s="11">
        <f t="shared" si="317"/>
        <v>0</v>
      </c>
      <c r="AK423" s="11">
        <f t="shared" si="318"/>
        <v>0</v>
      </c>
      <c r="AL423" s="11">
        <f t="shared" si="319"/>
        <v>1525000</v>
      </c>
      <c r="AM423" s="76">
        <f t="shared" si="320"/>
        <v>1275000</v>
      </c>
      <c r="AN423" s="51">
        <f t="shared" si="321"/>
        <v>2800000</v>
      </c>
      <c r="AO423" s="36"/>
      <c r="AP423" s="9"/>
      <c r="AQ423" s="9"/>
      <c r="AR423" s="9"/>
      <c r="AS423" s="9"/>
      <c r="AT423" s="9"/>
      <c r="AU423" s="9"/>
      <c r="AV423" s="9">
        <f t="shared" si="322"/>
        <v>0</v>
      </c>
      <c r="AW423" s="10">
        <f t="shared" si="271"/>
        <v>0</v>
      </c>
      <c r="AY423" s="11">
        <f t="shared" ref="AY423:AY429" si="325">V423-W423-AC423</f>
        <v>0</v>
      </c>
    </row>
    <row r="424" spans="5:51" ht="60" customHeight="1" x14ac:dyDescent="0.2">
      <c r="E424" s="151">
        <f t="shared" si="323"/>
        <v>50209</v>
      </c>
      <c r="F424" s="170" t="s">
        <v>217</v>
      </c>
      <c r="G424" s="156"/>
      <c r="H424" s="157"/>
      <c r="I424" s="158"/>
      <c r="J424" s="159"/>
      <c r="K424" s="158">
        <v>100000</v>
      </c>
      <c r="L424" s="159"/>
      <c r="M424" s="158">
        <v>100000</v>
      </c>
      <c r="N424" s="159">
        <v>100000</v>
      </c>
      <c r="O424" s="158">
        <v>125000</v>
      </c>
      <c r="P424" s="159">
        <v>25000</v>
      </c>
      <c r="Q424" s="165">
        <f t="shared" si="324"/>
        <v>25000</v>
      </c>
      <c r="R424" s="166">
        <f t="shared" si="324"/>
        <v>-75000</v>
      </c>
      <c r="S424" s="156"/>
      <c r="T424" s="160"/>
      <c r="U424" s="157"/>
      <c r="V424" s="161">
        <v>125000</v>
      </c>
      <c r="W424" s="158">
        <v>125000</v>
      </c>
      <c r="X424" s="160"/>
      <c r="Y424" s="160"/>
      <c r="Z424" s="160"/>
      <c r="AA424" s="160">
        <f>W424</f>
        <v>125000</v>
      </c>
      <c r="AB424" s="159"/>
      <c r="AC424" s="158">
        <f t="shared" si="315"/>
        <v>0</v>
      </c>
      <c r="AD424" s="160"/>
      <c r="AE424" s="160"/>
      <c r="AF424" s="157"/>
      <c r="AG424" s="157"/>
      <c r="AH424" s="159"/>
      <c r="AI424" s="35">
        <f t="shared" si="316"/>
        <v>0</v>
      </c>
      <c r="AJ424" s="11">
        <f t="shared" si="317"/>
        <v>0</v>
      </c>
      <c r="AK424" s="11">
        <f t="shared" si="318"/>
        <v>0</v>
      </c>
      <c r="AL424" s="11">
        <f t="shared" si="319"/>
        <v>125000</v>
      </c>
      <c r="AM424" s="76">
        <f t="shared" si="320"/>
        <v>0</v>
      </c>
      <c r="AN424" s="51">
        <f t="shared" si="321"/>
        <v>125000</v>
      </c>
      <c r="AO424" s="36"/>
      <c r="AP424" s="9"/>
      <c r="AQ424" s="9"/>
      <c r="AR424" s="9"/>
      <c r="AS424" s="9"/>
      <c r="AT424" s="9"/>
      <c r="AU424" s="9"/>
      <c r="AV424" s="9">
        <f t="shared" si="322"/>
        <v>0</v>
      </c>
      <c r="AW424" s="10">
        <f t="shared" si="271"/>
        <v>0</v>
      </c>
      <c r="AY424" s="11">
        <f t="shared" si="325"/>
        <v>0</v>
      </c>
    </row>
    <row r="425" spans="5:51" ht="60" customHeight="1" x14ac:dyDescent="0.2">
      <c r="E425" s="151">
        <f t="shared" si="323"/>
        <v>50210</v>
      </c>
      <c r="F425" s="170" t="s">
        <v>218</v>
      </c>
      <c r="G425" s="156">
        <v>2900000</v>
      </c>
      <c r="H425" s="157">
        <f>3200000-600000</f>
        <v>2600000</v>
      </c>
      <c r="I425" s="158">
        <v>1000000</v>
      </c>
      <c r="J425" s="159">
        <v>1160000</v>
      </c>
      <c r="K425" s="158">
        <v>270000</v>
      </c>
      <c r="L425" s="159">
        <v>130000</v>
      </c>
      <c r="M425" s="158">
        <v>270000</v>
      </c>
      <c r="N425" s="159">
        <v>270000</v>
      </c>
      <c r="O425" s="158">
        <v>1220000</v>
      </c>
      <c r="P425" s="159">
        <v>750000</v>
      </c>
      <c r="Q425" s="165">
        <f t="shared" si="324"/>
        <v>950000</v>
      </c>
      <c r="R425" s="166">
        <f t="shared" si="324"/>
        <v>480000</v>
      </c>
      <c r="S425" s="156">
        <v>600000</v>
      </c>
      <c r="T425" s="160"/>
      <c r="U425" s="157">
        <f>+S425</f>
        <v>600000</v>
      </c>
      <c r="V425" s="161">
        <v>620000</v>
      </c>
      <c r="W425" s="158">
        <v>0</v>
      </c>
      <c r="X425" s="160"/>
      <c r="Y425" s="160">
        <f>W425</f>
        <v>0</v>
      </c>
      <c r="Z425" s="160"/>
      <c r="AA425" s="160"/>
      <c r="AB425" s="159"/>
      <c r="AC425" s="158">
        <f t="shared" si="315"/>
        <v>620000</v>
      </c>
      <c r="AD425" s="160"/>
      <c r="AE425" s="160"/>
      <c r="AF425" s="157"/>
      <c r="AG425" s="160">
        <f>AC425/2</f>
        <v>310000</v>
      </c>
      <c r="AH425" s="159">
        <f>AC425-AG425</f>
        <v>310000</v>
      </c>
      <c r="AI425" s="35">
        <f t="shared" si="316"/>
        <v>0</v>
      </c>
      <c r="AJ425" s="11">
        <f t="shared" si="317"/>
        <v>0</v>
      </c>
      <c r="AK425" s="11">
        <f t="shared" si="318"/>
        <v>0</v>
      </c>
      <c r="AL425" s="11">
        <f t="shared" si="319"/>
        <v>310000</v>
      </c>
      <c r="AM425" s="76">
        <f t="shared" si="320"/>
        <v>310000</v>
      </c>
      <c r="AN425" s="51">
        <f t="shared" si="321"/>
        <v>620000</v>
      </c>
      <c r="AO425" s="36"/>
      <c r="AP425" s="9"/>
      <c r="AQ425" s="9"/>
      <c r="AR425" s="9"/>
      <c r="AS425" s="9"/>
      <c r="AT425" s="9"/>
      <c r="AU425" s="9"/>
      <c r="AV425" s="9">
        <f t="shared" si="322"/>
        <v>0</v>
      </c>
      <c r="AW425" s="10">
        <f t="shared" si="271"/>
        <v>0</v>
      </c>
      <c r="AY425" s="11">
        <f t="shared" si="325"/>
        <v>0</v>
      </c>
    </row>
    <row r="426" spans="5:51" ht="60" customHeight="1" x14ac:dyDescent="0.2">
      <c r="E426" s="151">
        <f t="shared" si="323"/>
        <v>50211</v>
      </c>
      <c r="F426" s="170" t="s">
        <v>422</v>
      </c>
      <c r="G426" s="156"/>
      <c r="H426" s="157"/>
      <c r="I426" s="158"/>
      <c r="J426" s="159"/>
      <c r="K426" s="158"/>
      <c r="L426" s="159"/>
      <c r="M426" s="158"/>
      <c r="N426" s="159"/>
      <c r="O426" s="158">
        <v>500000</v>
      </c>
      <c r="P426" s="159">
        <v>500000</v>
      </c>
      <c r="Q426" s="165">
        <f t="shared" si="324"/>
        <v>500000</v>
      </c>
      <c r="R426" s="166">
        <f t="shared" si="324"/>
        <v>500000</v>
      </c>
      <c r="S426" s="156"/>
      <c r="T426" s="160"/>
      <c r="U426" s="157">
        <f>+S426</f>
        <v>0</v>
      </c>
      <c r="V426" s="161">
        <v>500000</v>
      </c>
      <c r="W426" s="158">
        <v>0</v>
      </c>
      <c r="X426" s="160"/>
      <c r="Y426" s="160"/>
      <c r="Z426" s="160">
        <f>W426</f>
        <v>0</v>
      </c>
      <c r="AA426" s="160"/>
      <c r="AB426" s="159"/>
      <c r="AC426" s="158">
        <f t="shared" si="315"/>
        <v>500000</v>
      </c>
      <c r="AD426" s="160"/>
      <c r="AE426" s="160"/>
      <c r="AF426" s="157"/>
      <c r="AG426" s="160">
        <f>AC426/2</f>
        <v>250000</v>
      </c>
      <c r="AH426" s="159">
        <f>AC426-AG426</f>
        <v>250000</v>
      </c>
      <c r="AI426" s="35">
        <f t="shared" si="316"/>
        <v>0</v>
      </c>
      <c r="AJ426" s="11">
        <f t="shared" si="317"/>
        <v>0</v>
      </c>
      <c r="AK426" s="11">
        <f t="shared" si="318"/>
        <v>0</v>
      </c>
      <c r="AL426" s="11">
        <f t="shared" si="319"/>
        <v>250000</v>
      </c>
      <c r="AM426" s="76">
        <f t="shared" si="320"/>
        <v>250000</v>
      </c>
      <c r="AN426" s="51">
        <f t="shared" si="321"/>
        <v>500000</v>
      </c>
      <c r="AO426" s="36"/>
      <c r="AP426" s="9"/>
      <c r="AQ426" s="9"/>
      <c r="AR426" s="9"/>
      <c r="AS426" s="9"/>
      <c r="AT426" s="9"/>
      <c r="AU426" s="9"/>
      <c r="AV426" s="9"/>
      <c r="AW426" s="10"/>
      <c r="AY426" s="11">
        <f t="shared" si="325"/>
        <v>0</v>
      </c>
    </row>
    <row r="427" spans="5:51" ht="60" customHeight="1" x14ac:dyDescent="0.2">
      <c r="E427" s="149"/>
      <c r="F427" s="127" t="s">
        <v>219</v>
      </c>
      <c r="G427" s="118">
        <f t="shared" ref="G427:AV427" si="326">SUM(G416:G426)</f>
        <v>7524000</v>
      </c>
      <c r="H427" s="116">
        <f t="shared" si="326"/>
        <v>7269000</v>
      </c>
      <c r="I427" s="115">
        <f t="shared" si="326"/>
        <v>4070000</v>
      </c>
      <c r="J427" s="117">
        <f t="shared" si="326"/>
        <v>4121000</v>
      </c>
      <c r="K427" s="115">
        <f t="shared" si="326"/>
        <v>3880000</v>
      </c>
      <c r="L427" s="117">
        <f t="shared" si="326"/>
        <v>3340000</v>
      </c>
      <c r="M427" s="115">
        <f t="shared" si="326"/>
        <v>4138000</v>
      </c>
      <c r="N427" s="117">
        <f t="shared" si="326"/>
        <v>4137150</v>
      </c>
      <c r="O427" s="115">
        <f t="shared" si="326"/>
        <v>13746000</v>
      </c>
      <c r="P427" s="117">
        <f t="shared" si="326"/>
        <v>8825000</v>
      </c>
      <c r="Q427" s="115">
        <f t="shared" si="326"/>
        <v>9608000</v>
      </c>
      <c r="R427" s="117">
        <f t="shared" si="326"/>
        <v>4687850</v>
      </c>
      <c r="S427" s="118">
        <f t="shared" si="326"/>
        <v>3350000</v>
      </c>
      <c r="T427" s="120">
        <f t="shared" si="326"/>
        <v>0</v>
      </c>
      <c r="U427" s="116">
        <f t="shared" si="326"/>
        <v>3350000</v>
      </c>
      <c r="V427" s="119">
        <f t="shared" si="326"/>
        <v>15295000</v>
      </c>
      <c r="W427" s="115">
        <f t="shared" si="326"/>
        <v>3575000</v>
      </c>
      <c r="X427" s="120">
        <f t="shared" si="326"/>
        <v>0</v>
      </c>
      <c r="Y427" s="120">
        <f t="shared" si="326"/>
        <v>0</v>
      </c>
      <c r="Z427" s="120">
        <f t="shared" si="326"/>
        <v>0</v>
      </c>
      <c r="AA427" s="120">
        <f t="shared" si="326"/>
        <v>2675000</v>
      </c>
      <c r="AB427" s="117">
        <f t="shared" si="326"/>
        <v>900000</v>
      </c>
      <c r="AC427" s="115">
        <f t="shared" si="326"/>
        <v>11720000</v>
      </c>
      <c r="AD427" s="120">
        <f t="shared" si="326"/>
        <v>0</v>
      </c>
      <c r="AE427" s="120">
        <f t="shared" si="326"/>
        <v>0</v>
      </c>
      <c r="AF427" s="116">
        <f t="shared" si="326"/>
        <v>0</v>
      </c>
      <c r="AG427" s="116">
        <f t="shared" si="326"/>
        <v>6935000</v>
      </c>
      <c r="AH427" s="117">
        <f t="shared" si="326"/>
        <v>4785000</v>
      </c>
      <c r="AI427" s="47">
        <f t="shared" si="326"/>
        <v>0</v>
      </c>
      <c r="AJ427" s="10">
        <f t="shared" si="326"/>
        <v>0</v>
      </c>
      <c r="AK427" s="10">
        <f t="shared" si="326"/>
        <v>0</v>
      </c>
      <c r="AL427" s="10">
        <f t="shared" si="326"/>
        <v>9610000</v>
      </c>
      <c r="AM427" s="48">
        <f t="shared" si="326"/>
        <v>5685000</v>
      </c>
      <c r="AN427" s="52">
        <f t="shared" si="326"/>
        <v>15295000</v>
      </c>
      <c r="AO427" s="39">
        <f t="shared" si="326"/>
        <v>0</v>
      </c>
      <c r="AP427" s="10">
        <f t="shared" si="326"/>
        <v>0</v>
      </c>
      <c r="AQ427" s="10">
        <f t="shared" si="326"/>
        <v>0</v>
      </c>
      <c r="AR427" s="10">
        <f t="shared" si="326"/>
        <v>0</v>
      </c>
      <c r="AS427" s="10">
        <f t="shared" si="326"/>
        <v>0</v>
      </c>
      <c r="AT427" s="10">
        <f t="shared" si="326"/>
        <v>0</v>
      </c>
      <c r="AU427" s="10">
        <f t="shared" si="326"/>
        <v>0</v>
      </c>
      <c r="AV427" s="10">
        <f t="shared" si="326"/>
        <v>0</v>
      </c>
      <c r="AW427" s="10">
        <f t="shared" ref="AW427:AW465" si="327">AP427-AQ427-AV427</f>
        <v>0</v>
      </c>
      <c r="AY427" s="11">
        <f t="shared" si="325"/>
        <v>0</v>
      </c>
    </row>
    <row r="428" spans="5:51" ht="60" customHeight="1" x14ac:dyDescent="0.2">
      <c r="E428" s="151">
        <v>50300</v>
      </c>
      <c r="F428" s="155" t="s">
        <v>550</v>
      </c>
      <c r="G428" s="156"/>
      <c r="H428" s="157"/>
      <c r="I428" s="158"/>
      <c r="J428" s="159"/>
      <c r="K428" s="158"/>
      <c r="L428" s="159"/>
      <c r="M428" s="158"/>
      <c r="N428" s="159"/>
      <c r="O428" s="158"/>
      <c r="P428" s="159"/>
      <c r="Q428" s="158"/>
      <c r="R428" s="159"/>
      <c r="S428" s="156"/>
      <c r="T428" s="160"/>
      <c r="U428" s="157"/>
      <c r="V428" s="161"/>
      <c r="W428" s="158"/>
      <c r="X428" s="160"/>
      <c r="Y428" s="160"/>
      <c r="Z428" s="160"/>
      <c r="AA428" s="160"/>
      <c r="AB428" s="159"/>
      <c r="AC428" s="158"/>
      <c r="AD428" s="160"/>
      <c r="AE428" s="160"/>
      <c r="AF428" s="157"/>
      <c r="AG428" s="157"/>
      <c r="AH428" s="159"/>
      <c r="AI428" s="45"/>
      <c r="AJ428" s="9"/>
      <c r="AK428" s="9"/>
      <c r="AL428" s="9"/>
      <c r="AM428" s="46"/>
      <c r="AN428" s="50"/>
      <c r="AO428" s="36"/>
      <c r="AP428" s="9"/>
      <c r="AQ428" s="9"/>
      <c r="AR428" s="9"/>
      <c r="AS428" s="9"/>
      <c r="AT428" s="9"/>
      <c r="AU428" s="9"/>
      <c r="AV428" s="9"/>
      <c r="AW428" s="10">
        <f t="shared" si="327"/>
        <v>0</v>
      </c>
      <c r="AY428" s="11">
        <f t="shared" si="325"/>
        <v>0</v>
      </c>
    </row>
    <row r="429" spans="5:51" ht="60" customHeight="1" x14ac:dyDescent="0.2">
      <c r="E429" s="151">
        <f>E428+1</f>
        <v>50301</v>
      </c>
      <c r="F429" s="170" t="s">
        <v>477</v>
      </c>
      <c r="G429" s="156">
        <v>450000</v>
      </c>
      <c r="H429" s="157"/>
      <c r="I429" s="158">
        <v>450000</v>
      </c>
      <c r="J429" s="159"/>
      <c r="K429" s="158">
        <v>450000</v>
      </c>
      <c r="L429" s="159"/>
      <c r="M429" s="158"/>
      <c r="N429" s="159"/>
      <c r="O429" s="158">
        <v>1196000</v>
      </c>
      <c r="P429" s="159">
        <v>1170000</v>
      </c>
      <c r="Q429" s="165">
        <f t="shared" ref="Q429:R431" si="328">O429-M429</f>
        <v>1196000</v>
      </c>
      <c r="R429" s="166">
        <f t="shared" si="328"/>
        <v>1170000</v>
      </c>
      <c r="S429" s="156">
        <v>150000</v>
      </c>
      <c r="T429" s="160"/>
      <c r="U429" s="164">
        <f>+S429</f>
        <v>150000</v>
      </c>
      <c r="V429" s="161">
        <v>760000</v>
      </c>
      <c r="W429" s="158">
        <v>760000</v>
      </c>
      <c r="X429" s="160"/>
      <c r="Y429" s="160"/>
      <c r="Z429" s="160"/>
      <c r="AA429" s="160">
        <f>W429</f>
        <v>760000</v>
      </c>
      <c r="AB429" s="159"/>
      <c r="AC429" s="158">
        <f>V429-W429</f>
        <v>0</v>
      </c>
      <c r="AD429" s="160"/>
      <c r="AE429" s="160"/>
      <c r="AF429" s="157"/>
      <c r="AG429" s="157"/>
      <c r="AH429" s="159"/>
      <c r="AI429" s="35">
        <f t="shared" ref="AI429:AM431" si="329">AD429+X429</f>
        <v>0</v>
      </c>
      <c r="AJ429" s="11">
        <f t="shared" si="329"/>
        <v>0</v>
      </c>
      <c r="AK429" s="11">
        <f t="shared" si="329"/>
        <v>0</v>
      </c>
      <c r="AL429" s="11">
        <f t="shared" si="329"/>
        <v>760000</v>
      </c>
      <c r="AM429" s="76">
        <f t="shared" si="329"/>
        <v>0</v>
      </c>
      <c r="AN429" s="51">
        <f>SUM(AJ429:AM429)</f>
        <v>760000</v>
      </c>
      <c r="AO429" s="36"/>
      <c r="AP429" s="9"/>
      <c r="AQ429" s="9"/>
      <c r="AR429" s="9"/>
      <c r="AS429" s="9"/>
      <c r="AT429" s="9"/>
      <c r="AU429" s="9"/>
      <c r="AV429" s="9">
        <f>AU429+AT429+AS429+AR429</f>
        <v>0</v>
      </c>
      <c r="AW429" s="10">
        <f t="shared" si="327"/>
        <v>0</v>
      </c>
      <c r="AY429" s="11">
        <f t="shared" si="325"/>
        <v>0</v>
      </c>
    </row>
    <row r="430" spans="5:51" ht="60" customHeight="1" x14ac:dyDescent="0.2">
      <c r="E430" s="151">
        <f>+E429+1</f>
        <v>50302</v>
      </c>
      <c r="F430" s="170" t="s">
        <v>478</v>
      </c>
      <c r="G430" s="156"/>
      <c r="H430" s="157"/>
      <c r="I430" s="158"/>
      <c r="J430" s="159"/>
      <c r="K430" s="158"/>
      <c r="L430" s="159"/>
      <c r="M430" s="158"/>
      <c r="N430" s="159"/>
      <c r="O430" s="158"/>
      <c r="P430" s="159"/>
      <c r="Q430" s="165"/>
      <c r="R430" s="166"/>
      <c r="S430" s="156"/>
      <c r="T430" s="160"/>
      <c r="U430" s="164"/>
      <c r="V430" s="161">
        <v>200000</v>
      </c>
      <c r="W430" s="158">
        <v>0</v>
      </c>
      <c r="X430" s="160"/>
      <c r="Y430" s="160">
        <f>W430</f>
        <v>0</v>
      </c>
      <c r="Z430" s="160"/>
      <c r="AA430" s="160"/>
      <c r="AB430" s="159"/>
      <c r="AC430" s="158">
        <f>V430-W430</f>
        <v>200000</v>
      </c>
      <c r="AD430" s="160"/>
      <c r="AE430" s="160"/>
      <c r="AF430" s="157"/>
      <c r="AG430" s="157">
        <f>AC430</f>
        <v>200000</v>
      </c>
      <c r="AH430" s="159"/>
      <c r="AI430" s="35">
        <f t="shared" si="329"/>
        <v>0</v>
      </c>
      <c r="AJ430" s="11">
        <f t="shared" si="329"/>
        <v>0</v>
      </c>
      <c r="AK430" s="11">
        <f t="shared" si="329"/>
        <v>0</v>
      </c>
      <c r="AL430" s="11">
        <f t="shared" si="329"/>
        <v>200000</v>
      </c>
      <c r="AM430" s="76">
        <f t="shared" si="329"/>
        <v>0</v>
      </c>
      <c r="AN430" s="51">
        <f>SUM(AJ430:AM430)</f>
        <v>200000</v>
      </c>
      <c r="AO430" s="36"/>
      <c r="AP430" s="9"/>
      <c r="AQ430" s="9"/>
      <c r="AR430" s="9"/>
      <c r="AS430" s="9"/>
      <c r="AT430" s="9"/>
      <c r="AU430" s="9"/>
      <c r="AV430" s="9"/>
      <c r="AW430" s="10"/>
      <c r="AY430" s="11"/>
    </row>
    <row r="431" spans="5:51" ht="60" customHeight="1" x14ac:dyDescent="0.2">
      <c r="E431" s="151">
        <f>+E430+1</f>
        <v>50303</v>
      </c>
      <c r="F431" s="162" t="s">
        <v>220</v>
      </c>
      <c r="G431" s="156">
        <v>400000</v>
      </c>
      <c r="H431" s="157">
        <v>235000</v>
      </c>
      <c r="I431" s="158">
        <v>1900000</v>
      </c>
      <c r="J431" s="159">
        <v>1601831</v>
      </c>
      <c r="K431" s="158">
        <v>1000000</v>
      </c>
      <c r="L431" s="159">
        <f>158314+100000+80000+25000</f>
        <v>363314</v>
      </c>
      <c r="M431" s="158">
        <v>1000000</v>
      </c>
      <c r="N431" s="159">
        <f>154000+37000+91000+128000+32000+468000+122000</f>
        <v>1032000</v>
      </c>
      <c r="O431" s="158"/>
      <c r="P431" s="159"/>
      <c r="Q431" s="165">
        <f t="shared" si="328"/>
        <v>-1000000</v>
      </c>
      <c r="R431" s="166">
        <f t="shared" si="328"/>
        <v>-1032000</v>
      </c>
      <c r="S431" s="156"/>
      <c r="T431" s="160"/>
      <c r="U431" s="157"/>
      <c r="V431" s="161">
        <v>1000000</v>
      </c>
      <c r="W431" s="158">
        <v>500000</v>
      </c>
      <c r="X431" s="160"/>
      <c r="Y431" s="160"/>
      <c r="Z431" s="160"/>
      <c r="AA431" s="160">
        <f>W431</f>
        <v>500000</v>
      </c>
      <c r="AB431" s="159"/>
      <c r="AC431" s="158">
        <f>V431-W431</f>
        <v>500000</v>
      </c>
      <c r="AD431" s="160"/>
      <c r="AE431" s="160"/>
      <c r="AF431" s="157"/>
      <c r="AG431" s="157">
        <f>AC431</f>
        <v>500000</v>
      </c>
      <c r="AH431" s="159"/>
      <c r="AI431" s="35">
        <f t="shared" si="329"/>
        <v>0</v>
      </c>
      <c r="AJ431" s="11">
        <f t="shared" si="329"/>
        <v>0</v>
      </c>
      <c r="AK431" s="11">
        <f t="shared" si="329"/>
        <v>0</v>
      </c>
      <c r="AL431" s="11">
        <f t="shared" si="329"/>
        <v>1000000</v>
      </c>
      <c r="AM431" s="76">
        <f t="shared" si="329"/>
        <v>0</v>
      </c>
      <c r="AN431" s="51">
        <f>SUM(AJ431:AM431)</f>
        <v>1000000</v>
      </c>
      <c r="AO431" s="36"/>
      <c r="AP431" s="9"/>
      <c r="AQ431" s="9"/>
      <c r="AR431" s="9"/>
      <c r="AS431" s="9"/>
      <c r="AT431" s="9"/>
      <c r="AU431" s="9"/>
      <c r="AV431" s="9">
        <f>AU431+AT431+AS431+AR431</f>
        <v>0</v>
      </c>
      <c r="AW431" s="10">
        <f t="shared" si="327"/>
        <v>0</v>
      </c>
      <c r="AY431" s="11">
        <f t="shared" ref="AY431:AY445" si="330">V431-W431-AC431</f>
        <v>0</v>
      </c>
    </row>
    <row r="432" spans="5:51" ht="60" customHeight="1" x14ac:dyDescent="0.2">
      <c r="E432" s="149"/>
      <c r="F432" s="127" t="s">
        <v>551</v>
      </c>
      <c r="G432" s="118">
        <f t="shared" ref="G432:AV432" si="331">SUM(G429:G431)</f>
        <v>850000</v>
      </c>
      <c r="H432" s="116">
        <f t="shared" si="331"/>
        <v>235000</v>
      </c>
      <c r="I432" s="115">
        <f t="shared" si="331"/>
        <v>2350000</v>
      </c>
      <c r="J432" s="117">
        <f t="shared" si="331"/>
        <v>1601831</v>
      </c>
      <c r="K432" s="115">
        <f t="shared" si="331"/>
        <v>1450000</v>
      </c>
      <c r="L432" s="117">
        <f t="shared" si="331"/>
        <v>363314</v>
      </c>
      <c r="M432" s="115">
        <f t="shared" si="331"/>
        <v>1000000</v>
      </c>
      <c r="N432" s="117">
        <f t="shared" si="331"/>
        <v>1032000</v>
      </c>
      <c r="O432" s="115">
        <f t="shared" si="331"/>
        <v>1196000</v>
      </c>
      <c r="P432" s="117">
        <f t="shared" si="331"/>
        <v>1170000</v>
      </c>
      <c r="Q432" s="115">
        <f t="shared" si="331"/>
        <v>196000</v>
      </c>
      <c r="R432" s="117">
        <f t="shared" si="331"/>
        <v>138000</v>
      </c>
      <c r="S432" s="118">
        <f t="shared" si="331"/>
        <v>150000</v>
      </c>
      <c r="T432" s="120">
        <f t="shared" si="331"/>
        <v>0</v>
      </c>
      <c r="U432" s="116">
        <f t="shared" si="331"/>
        <v>150000</v>
      </c>
      <c r="V432" s="119">
        <f t="shared" si="331"/>
        <v>1960000</v>
      </c>
      <c r="W432" s="115">
        <f t="shared" ref="W432:AM432" si="332">SUM(W429:W431)</f>
        <v>1260000</v>
      </c>
      <c r="X432" s="120">
        <f t="shared" si="332"/>
        <v>0</v>
      </c>
      <c r="Y432" s="120">
        <f t="shared" si="332"/>
        <v>0</v>
      </c>
      <c r="Z432" s="120">
        <f t="shared" si="332"/>
        <v>0</v>
      </c>
      <c r="AA432" s="120">
        <f t="shared" si="332"/>
        <v>1260000</v>
      </c>
      <c r="AB432" s="117">
        <f t="shared" si="332"/>
        <v>0</v>
      </c>
      <c r="AC432" s="115">
        <f t="shared" si="332"/>
        <v>700000</v>
      </c>
      <c r="AD432" s="120">
        <f t="shared" si="332"/>
        <v>0</v>
      </c>
      <c r="AE432" s="120">
        <f t="shared" si="332"/>
        <v>0</v>
      </c>
      <c r="AF432" s="116">
        <f t="shared" si="332"/>
        <v>0</v>
      </c>
      <c r="AG432" s="116">
        <f t="shared" si="332"/>
        <v>700000</v>
      </c>
      <c r="AH432" s="117">
        <f t="shared" si="332"/>
        <v>0</v>
      </c>
      <c r="AI432" s="47">
        <f t="shared" si="332"/>
        <v>0</v>
      </c>
      <c r="AJ432" s="10">
        <f t="shared" si="332"/>
        <v>0</v>
      </c>
      <c r="AK432" s="10">
        <f t="shared" si="332"/>
        <v>0</v>
      </c>
      <c r="AL432" s="10">
        <f t="shared" si="332"/>
        <v>1960000</v>
      </c>
      <c r="AM432" s="48">
        <f t="shared" si="332"/>
        <v>0</v>
      </c>
      <c r="AN432" s="52">
        <f t="shared" si="331"/>
        <v>1960000</v>
      </c>
      <c r="AO432" s="39">
        <f t="shared" si="331"/>
        <v>0</v>
      </c>
      <c r="AP432" s="10">
        <f t="shared" si="331"/>
        <v>0</v>
      </c>
      <c r="AQ432" s="10">
        <f t="shared" si="331"/>
        <v>0</v>
      </c>
      <c r="AR432" s="10">
        <f t="shared" si="331"/>
        <v>0</v>
      </c>
      <c r="AS432" s="10">
        <f t="shared" si="331"/>
        <v>0</v>
      </c>
      <c r="AT432" s="10">
        <f t="shared" si="331"/>
        <v>0</v>
      </c>
      <c r="AU432" s="10">
        <f t="shared" si="331"/>
        <v>0</v>
      </c>
      <c r="AV432" s="10">
        <f t="shared" si="331"/>
        <v>0</v>
      </c>
      <c r="AW432" s="10">
        <f t="shared" si="327"/>
        <v>0</v>
      </c>
      <c r="AY432" s="11">
        <f t="shared" si="330"/>
        <v>0</v>
      </c>
    </row>
    <row r="433" spans="5:51" ht="60" customHeight="1" x14ac:dyDescent="0.2">
      <c r="E433" s="150"/>
      <c r="F433" s="127" t="s">
        <v>221</v>
      </c>
      <c r="G433" s="118">
        <f t="shared" ref="G433:AV433" si="333">G432+G427+G414</f>
        <v>9474000</v>
      </c>
      <c r="H433" s="116">
        <f t="shared" si="333"/>
        <v>8604000</v>
      </c>
      <c r="I433" s="115">
        <f t="shared" si="333"/>
        <v>7270000</v>
      </c>
      <c r="J433" s="117">
        <f t="shared" si="333"/>
        <v>6572831</v>
      </c>
      <c r="K433" s="115">
        <f t="shared" si="333"/>
        <v>6480000</v>
      </c>
      <c r="L433" s="117">
        <f t="shared" si="333"/>
        <v>4853314</v>
      </c>
      <c r="M433" s="115">
        <f t="shared" si="333"/>
        <v>8288000</v>
      </c>
      <c r="N433" s="117">
        <f t="shared" si="333"/>
        <v>8319150</v>
      </c>
      <c r="O433" s="115">
        <f t="shared" si="333"/>
        <v>20542000</v>
      </c>
      <c r="P433" s="117">
        <f t="shared" si="333"/>
        <v>12305000</v>
      </c>
      <c r="Q433" s="115">
        <f t="shared" si="333"/>
        <v>12254000</v>
      </c>
      <c r="R433" s="117">
        <f t="shared" si="333"/>
        <v>3985850</v>
      </c>
      <c r="S433" s="118">
        <f t="shared" si="333"/>
        <v>6560000</v>
      </c>
      <c r="T433" s="120">
        <f t="shared" si="333"/>
        <v>0</v>
      </c>
      <c r="U433" s="116">
        <f t="shared" si="333"/>
        <v>6560000</v>
      </c>
      <c r="V433" s="119">
        <f t="shared" si="333"/>
        <v>24455000</v>
      </c>
      <c r="W433" s="115">
        <f t="shared" ref="W433:AM433" si="334">W432+W427+W414</f>
        <v>6035000</v>
      </c>
      <c r="X433" s="120">
        <f t="shared" si="334"/>
        <v>0</v>
      </c>
      <c r="Y433" s="120">
        <f t="shared" si="334"/>
        <v>0</v>
      </c>
      <c r="Z433" s="120">
        <f t="shared" si="334"/>
        <v>0</v>
      </c>
      <c r="AA433" s="120">
        <f t="shared" si="334"/>
        <v>4435000</v>
      </c>
      <c r="AB433" s="117">
        <f t="shared" si="334"/>
        <v>1600000</v>
      </c>
      <c r="AC433" s="115">
        <f t="shared" si="334"/>
        <v>18420000</v>
      </c>
      <c r="AD433" s="120">
        <f t="shared" si="334"/>
        <v>0</v>
      </c>
      <c r="AE433" s="120">
        <f t="shared" si="334"/>
        <v>0</v>
      </c>
      <c r="AF433" s="116">
        <f t="shared" si="334"/>
        <v>0</v>
      </c>
      <c r="AG433" s="116">
        <f t="shared" si="334"/>
        <v>9385000</v>
      </c>
      <c r="AH433" s="117">
        <f t="shared" si="334"/>
        <v>9035000</v>
      </c>
      <c r="AI433" s="47">
        <f t="shared" si="334"/>
        <v>0</v>
      </c>
      <c r="AJ433" s="10">
        <f t="shared" si="334"/>
        <v>0</v>
      </c>
      <c r="AK433" s="10">
        <f t="shared" si="334"/>
        <v>0</v>
      </c>
      <c r="AL433" s="10">
        <f t="shared" si="334"/>
        <v>13820000</v>
      </c>
      <c r="AM433" s="48">
        <f t="shared" si="334"/>
        <v>10635000</v>
      </c>
      <c r="AN433" s="52">
        <f t="shared" si="333"/>
        <v>24455000</v>
      </c>
      <c r="AO433" s="39">
        <f t="shared" si="333"/>
        <v>0</v>
      </c>
      <c r="AP433" s="10">
        <f t="shared" si="333"/>
        <v>0</v>
      </c>
      <c r="AQ433" s="10">
        <f t="shared" si="333"/>
        <v>0</v>
      </c>
      <c r="AR433" s="10">
        <f t="shared" si="333"/>
        <v>0</v>
      </c>
      <c r="AS433" s="10">
        <f t="shared" si="333"/>
        <v>0</v>
      </c>
      <c r="AT433" s="10">
        <f t="shared" si="333"/>
        <v>0</v>
      </c>
      <c r="AU433" s="10">
        <f t="shared" si="333"/>
        <v>0</v>
      </c>
      <c r="AV433" s="10">
        <f t="shared" si="333"/>
        <v>0</v>
      </c>
      <c r="AW433" s="10">
        <f t="shared" si="327"/>
        <v>0</v>
      </c>
      <c r="AY433" s="11">
        <f t="shared" si="330"/>
        <v>0</v>
      </c>
    </row>
    <row r="434" spans="5:51" ht="60" customHeight="1" x14ac:dyDescent="0.2">
      <c r="E434" s="151">
        <v>60100</v>
      </c>
      <c r="F434" s="155" t="s">
        <v>222</v>
      </c>
      <c r="G434" s="156"/>
      <c r="H434" s="157"/>
      <c r="I434" s="158"/>
      <c r="J434" s="159"/>
      <c r="K434" s="158"/>
      <c r="L434" s="159"/>
      <c r="M434" s="158"/>
      <c r="N434" s="159"/>
      <c r="O434" s="158"/>
      <c r="P434" s="159"/>
      <c r="Q434" s="158"/>
      <c r="R434" s="159"/>
      <c r="S434" s="156"/>
      <c r="T434" s="160"/>
      <c r="U434" s="157"/>
      <c r="V434" s="161"/>
      <c r="W434" s="158"/>
      <c r="X434" s="160"/>
      <c r="Y434" s="160"/>
      <c r="Z434" s="160"/>
      <c r="AA434" s="160"/>
      <c r="AB434" s="159"/>
      <c r="AC434" s="158"/>
      <c r="AD434" s="160"/>
      <c r="AE434" s="160"/>
      <c r="AF434" s="157"/>
      <c r="AG434" s="157"/>
      <c r="AH434" s="159"/>
      <c r="AI434" s="45"/>
      <c r="AJ434" s="9"/>
      <c r="AK434" s="9"/>
      <c r="AL434" s="9"/>
      <c r="AM434" s="46"/>
      <c r="AN434" s="50"/>
      <c r="AO434" s="36"/>
      <c r="AP434" s="9"/>
      <c r="AQ434" s="9"/>
      <c r="AR434" s="9"/>
      <c r="AS434" s="9"/>
      <c r="AT434" s="9"/>
      <c r="AU434" s="9"/>
      <c r="AV434" s="9"/>
      <c r="AW434" s="10">
        <f t="shared" si="327"/>
        <v>0</v>
      </c>
      <c r="AY434" s="11">
        <f t="shared" si="330"/>
        <v>0</v>
      </c>
    </row>
    <row r="435" spans="5:51" ht="60" customHeight="1" x14ac:dyDescent="0.2">
      <c r="E435" s="151">
        <f>+E434+1</f>
        <v>60101</v>
      </c>
      <c r="F435" s="170" t="s">
        <v>223</v>
      </c>
      <c r="G435" s="156">
        <v>450000</v>
      </c>
      <c r="H435" s="157">
        <f>G435</f>
        <v>450000</v>
      </c>
      <c r="I435" s="158">
        <v>450000</v>
      </c>
      <c r="J435" s="159">
        <v>450000</v>
      </c>
      <c r="K435" s="158">
        <f>450000-200000</f>
        <v>250000</v>
      </c>
      <c r="L435" s="159">
        <v>150000</v>
      </c>
      <c r="M435" s="158">
        <v>250000</v>
      </c>
      <c r="N435" s="159">
        <v>250000</v>
      </c>
      <c r="O435" s="158">
        <v>550000</v>
      </c>
      <c r="P435" s="159">
        <f>85000*3</f>
        <v>255000</v>
      </c>
      <c r="Q435" s="165">
        <f t="shared" ref="Q435:R437" si="335">O435-M435</f>
        <v>300000</v>
      </c>
      <c r="R435" s="166">
        <f t="shared" si="335"/>
        <v>5000</v>
      </c>
      <c r="S435" s="156"/>
      <c r="T435" s="160"/>
      <c r="U435" s="157"/>
      <c r="V435" s="161">
        <v>600000</v>
      </c>
      <c r="W435" s="158">
        <v>250000</v>
      </c>
      <c r="X435" s="160"/>
      <c r="Y435" s="160"/>
      <c r="Z435" s="160"/>
      <c r="AA435" s="160">
        <f>W435</f>
        <v>250000</v>
      </c>
      <c r="AB435" s="159"/>
      <c r="AC435" s="158">
        <f>V435-W435</f>
        <v>350000</v>
      </c>
      <c r="AD435" s="160"/>
      <c r="AE435" s="160"/>
      <c r="AF435" s="157"/>
      <c r="AG435" s="157">
        <f>AC435</f>
        <v>350000</v>
      </c>
      <c r="AH435" s="159"/>
      <c r="AI435" s="35">
        <f t="shared" ref="AI435:AM437" si="336">AD435+X435</f>
        <v>0</v>
      </c>
      <c r="AJ435" s="11">
        <f t="shared" si="336"/>
        <v>0</v>
      </c>
      <c r="AK435" s="11">
        <f t="shared" si="336"/>
        <v>0</v>
      </c>
      <c r="AL435" s="11">
        <f t="shared" si="336"/>
        <v>600000</v>
      </c>
      <c r="AM435" s="76">
        <f t="shared" si="336"/>
        <v>0</v>
      </c>
      <c r="AN435" s="51">
        <f>SUM(AJ435:AM435)</f>
        <v>600000</v>
      </c>
      <c r="AO435" s="36"/>
      <c r="AP435" s="9"/>
      <c r="AQ435" s="9"/>
      <c r="AR435" s="9"/>
      <c r="AS435" s="9"/>
      <c r="AT435" s="9"/>
      <c r="AU435" s="9"/>
      <c r="AV435" s="9">
        <f>AU435+AT435+AS435+AR435</f>
        <v>0</v>
      </c>
      <c r="AW435" s="10">
        <f t="shared" si="327"/>
        <v>0</v>
      </c>
      <c r="AY435" s="11">
        <f t="shared" si="330"/>
        <v>0</v>
      </c>
    </row>
    <row r="436" spans="5:51" ht="60" customHeight="1" x14ac:dyDescent="0.2">
      <c r="E436" s="151">
        <f>+E435+1</f>
        <v>60102</v>
      </c>
      <c r="F436" s="162" t="s">
        <v>224</v>
      </c>
      <c r="G436" s="156">
        <v>650000</v>
      </c>
      <c r="H436" s="157">
        <f>G436</f>
        <v>650000</v>
      </c>
      <c r="I436" s="158">
        <v>650000</v>
      </c>
      <c r="J436" s="159">
        <v>650000</v>
      </c>
      <c r="K436" s="158">
        <v>650000</v>
      </c>
      <c r="L436" s="159">
        <f>325000+140000+185000</f>
        <v>650000</v>
      </c>
      <c r="M436" s="158">
        <v>650000</v>
      </c>
      <c r="N436" s="159">
        <v>650000</v>
      </c>
      <c r="O436" s="158">
        <v>800000</v>
      </c>
      <c r="P436" s="159">
        <f>163000+325000</f>
        <v>488000</v>
      </c>
      <c r="Q436" s="165">
        <f t="shared" si="335"/>
        <v>150000</v>
      </c>
      <c r="R436" s="166">
        <f t="shared" si="335"/>
        <v>-162000</v>
      </c>
      <c r="S436" s="156"/>
      <c r="T436" s="160"/>
      <c r="U436" s="157"/>
      <c r="V436" s="161">
        <v>1000000</v>
      </c>
      <c r="W436" s="158">
        <v>650000</v>
      </c>
      <c r="X436" s="160"/>
      <c r="Y436" s="160"/>
      <c r="Z436" s="160"/>
      <c r="AA436" s="160">
        <f>W436</f>
        <v>650000</v>
      </c>
      <c r="AB436" s="159"/>
      <c r="AC436" s="158">
        <f>V436-W436</f>
        <v>350000</v>
      </c>
      <c r="AD436" s="160"/>
      <c r="AE436" s="160"/>
      <c r="AF436" s="157"/>
      <c r="AG436" s="157">
        <f>AC436</f>
        <v>350000</v>
      </c>
      <c r="AH436" s="159"/>
      <c r="AI436" s="35">
        <f t="shared" si="336"/>
        <v>0</v>
      </c>
      <c r="AJ436" s="11">
        <f t="shared" si="336"/>
        <v>0</v>
      </c>
      <c r="AK436" s="11">
        <f t="shared" si="336"/>
        <v>0</v>
      </c>
      <c r="AL436" s="11">
        <f t="shared" si="336"/>
        <v>1000000</v>
      </c>
      <c r="AM436" s="76">
        <f t="shared" si="336"/>
        <v>0</v>
      </c>
      <c r="AN436" s="51">
        <f>SUM(AJ436:AM436)</f>
        <v>1000000</v>
      </c>
      <c r="AO436" s="36"/>
      <c r="AP436" s="9"/>
      <c r="AQ436" s="9"/>
      <c r="AR436" s="9"/>
      <c r="AS436" s="9"/>
      <c r="AT436" s="9"/>
      <c r="AU436" s="9"/>
      <c r="AV436" s="9">
        <f>AU436+AT436+AS436+AR436</f>
        <v>0</v>
      </c>
      <c r="AW436" s="10">
        <f t="shared" si="327"/>
        <v>0</v>
      </c>
      <c r="AY436" s="11">
        <f t="shared" si="330"/>
        <v>0</v>
      </c>
    </row>
    <row r="437" spans="5:51" ht="60" customHeight="1" x14ac:dyDescent="0.2">
      <c r="E437" s="151">
        <f>+E436+1</f>
        <v>60103</v>
      </c>
      <c r="F437" s="162" t="s">
        <v>225</v>
      </c>
      <c r="G437" s="156">
        <v>750000</v>
      </c>
      <c r="H437" s="157">
        <f>G437</f>
        <v>750000</v>
      </c>
      <c r="I437" s="158">
        <v>750000</v>
      </c>
      <c r="J437" s="159">
        <v>750000</v>
      </c>
      <c r="K437" s="158">
        <f>750000-300000</f>
        <v>450000</v>
      </c>
      <c r="L437" s="159">
        <v>450000</v>
      </c>
      <c r="M437" s="158">
        <v>450000</v>
      </c>
      <c r="N437" s="159">
        <v>450000</v>
      </c>
      <c r="O437" s="158">
        <v>580000</v>
      </c>
      <c r="P437" s="159">
        <f>113000+225000+60000</f>
        <v>398000</v>
      </c>
      <c r="Q437" s="165">
        <f t="shared" si="335"/>
        <v>130000</v>
      </c>
      <c r="R437" s="166">
        <f t="shared" si="335"/>
        <v>-52000</v>
      </c>
      <c r="S437" s="156">
        <v>60000</v>
      </c>
      <c r="T437" s="160"/>
      <c r="U437" s="157">
        <f>S437</f>
        <v>60000</v>
      </c>
      <c r="V437" s="161">
        <v>750000</v>
      </c>
      <c r="W437" s="158">
        <v>450000</v>
      </c>
      <c r="X437" s="160"/>
      <c r="Y437" s="160"/>
      <c r="Z437" s="160"/>
      <c r="AA437" s="160">
        <f>W437</f>
        <v>450000</v>
      </c>
      <c r="AB437" s="159"/>
      <c r="AC437" s="158">
        <f>V437-W437</f>
        <v>300000</v>
      </c>
      <c r="AD437" s="160"/>
      <c r="AE437" s="160"/>
      <c r="AF437" s="157"/>
      <c r="AG437" s="157">
        <f>AC437</f>
        <v>300000</v>
      </c>
      <c r="AH437" s="159"/>
      <c r="AI437" s="35">
        <f t="shared" si="336"/>
        <v>0</v>
      </c>
      <c r="AJ437" s="11">
        <f t="shared" si="336"/>
        <v>0</v>
      </c>
      <c r="AK437" s="11">
        <f t="shared" si="336"/>
        <v>0</v>
      </c>
      <c r="AL437" s="11">
        <f t="shared" si="336"/>
        <v>750000</v>
      </c>
      <c r="AM437" s="76">
        <f t="shared" si="336"/>
        <v>0</v>
      </c>
      <c r="AN437" s="51">
        <f>SUM(AJ437:AM437)</f>
        <v>750000</v>
      </c>
      <c r="AO437" s="36"/>
      <c r="AP437" s="9"/>
      <c r="AQ437" s="9"/>
      <c r="AR437" s="9"/>
      <c r="AS437" s="9"/>
      <c r="AT437" s="9"/>
      <c r="AU437" s="9"/>
      <c r="AV437" s="9">
        <f>AU437+AT437+AS437+AR437</f>
        <v>0</v>
      </c>
      <c r="AW437" s="10">
        <f t="shared" si="327"/>
        <v>0</v>
      </c>
      <c r="AY437" s="11">
        <f t="shared" si="330"/>
        <v>0</v>
      </c>
    </row>
    <row r="438" spans="5:51" ht="60" customHeight="1" x14ac:dyDescent="0.2">
      <c r="E438" s="150"/>
      <c r="F438" s="127" t="s">
        <v>226</v>
      </c>
      <c r="G438" s="118">
        <f t="shared" ref="G438:AV438" si="337">SUM(G435:G437)</f>
        <v>1850000</v>
      </c>
      <c r="H438" s="116">
        <f t="shared" si="337"/>
        <v>1850000</v>
      </c>
      <c r="I438" s="115">
        <f t="shared" si="337"/>
        <v>1850000</v>
      </c>
      <c r="J438" s="117">
        <f t="shared" si="337"/>
        <v>1850000</v>
      </c>
      <c r="K438" s="115">
        <f t="shared" si="337"/>
        <v>1350000</v>
      </c>
      <c r="L438" s="117">
        <f t="shared" si="337"/>
        <v>1250000</v>
      </c>
      <c r="M438" s="115">
        <f t="shared" si="337"/>
        <v>1350000</v>
      </c>
      <c r="N438" s="117">
        <f t="shared" si="337"/>
        <v>1350000</v>
      </c>
      <c r="O438" s="115">
        <f>SUM(O435:O437)</f>
        <v>1930000</v>
      </c>
      <c r="P438" s="117">
        <f>SUM(P435:P437)</f>
        <v>1141000</v>
      </c>
      <c r="Q438" s="115">
        <f>SUM(Q435:Q437)</f>
        <v>580000</v>
      </c>
      <c r="R438" s="117">
        <f>SUM(R435:R437)</f>
        <v>-209000</v>
      </c>
      <c r="S438" s="118">
        <f t="shared" si="337"/>
        <v>60000</v>
      </c>
      <c r="T438" s="120">
        <f t="shared" si="337"/>
        <v>0</v>
      </c>
      <c r="U438" s="116">
        <f t="shared" si="337"/>
        <v>60000</v>
      </c>
      <c r="V438" s="119">
        <f t="shared" si="337"/>
        <v>2350000</v>
      </c>
      <c r="W438" s="115">
        <f t="shared" si="337"/>
        <v>1350000</v>
      </c>
      <c r="X438" s="120">
        <f t="shared" si="337"/>
        <v>0</v>
      </c>
      <c r="Y438" s="120">
        <f t="shared" si="337"/>
        <v>0</v>
      </c>
      <c r="Z438" s="120">
        <f t="shared" si="337"/>
        <v>0</v>
      </c>
      <c r="AA438" s="120">
        <f t="shared" si="337"/>
        <v>1350000</v>
      </c>
      <c r="AB438" s="117">
        <f t="shared" si="337"/>
        <v>0</v>
      </c>
      <c r="AC438" s="115">
        <f t="shared" si="337"/>
        <v>1000000</v>
      </c>
      <c r="AD438" s="120">
        <f t="shared" si="337"/>
        <v>0</v>
      </c>
      <c r="AE438" s="120">
        <f t="shared" si="337"/>
        <v>0</v>
      </c>
      <c r="AF438" s="116">
        <f t="shared" si="337"/>
        <v>0</v>
      </c>
      <c r="AG438" s="116">
        <f t="shared" si="337"/>
        <v>1000000</v>
      </c>
      <c r="AH438" s="117">
        <f t="shared" si="337"/>
        <v>0</v>
      </c>
      <c r="AI438" s="47">
        <f t="shared" si="337"/>
        <v>0</v>
      </c>
      <c r="AJ438" s="10">
        <f t="shared" si="337"/>
        <v>0</v>
      </c>
      <c r="AK438" s="10">
        <f t="shared" si="337"/>
        <v>0</v>
      </c>
      <c r="AL438" s="10">
        <f t="shared" si="337"/>
        <v>2350000</v>
      </c>
      <c r="AM438" s="48">
        <f t="shared" si="337"/>
        <v>0</v>
      </c>
      <c r="AN438" s="52">
        <f t="shared" si="337"/>
        <v>2350000</v>
      </c>
      <c r="AO438" s="39">
        <f t="shared" si="337"/>
        <v>0</v>
      </c>
      <c r="AP438" s="10">
        <f t="shared" si="337"/>
        <v>0</v>
      </c>
      <c r="AQ438" s="10">
        <f t="shared" si="337"/>
        <v>0</v>
      </c>
      <c r="AR438" s="10">
        <f t="shared" si="337"/>
        <v>0</v>
      </c>
      <c r="AS438" s="10">
        <f t="shared" si="337"/>
        <v>0</v>
      </c>
      <c r="AT438" s="10">
        <f t="shared" si="337"/>
        <v>0</v>
      </c>
      <c r="AU438" s="10">
        <f t="shared" si="337"/>
        <v>0</v>
      </c>
      <c r="AV438" s="10">
        <f t="shared" si="337"/>
        <v>0</v>
      </c>
      <c r="AW438" s="10">
        <f t="shared" si="327"/>
        <v>0</v>
      </c>
      <c r="AY438" s="11">
        <f t="shared" si="330"/>
        <v>0</v>
      </c>
    </row>
    <row r="439" spans="5:51" ht="60" customHeight="1" x14ac:dyDescent="0.2">
      <c r="E439" s="151">
        <v>70100</v>
      </c>
      <c r="F439" s="155" t="s">
        <v>227</v>
      </c>
      <c r="G439" s="156"/>
      <c r="H439" s="157"/>
      <c r="I439" s="158"/>
      <c r="J439" s="159"/>
      <c r="K439" s="158"/>
      <c r="L439" s="159"/>
      <c r="M439" s="158"/>
      <c r="N439" s="159"/>
      <c r="O439" s="158"/>
      <c r="P439" s="159"/>
      <c r="Q439" s="158"/>
      <c r="R439" s="159"/>
      <c r="S439" s="156"/>
      <c r="T439" s="160"/>
      <c r="U439" s="157"/>
      <c r="V439" s="161"/>
      <c r="W439" s="158"/>
      <c r="X439" s="160"/>
      <c r="Y439" s="160"/>
      <c r="Z439" s="160"/>
      <c r="AA439" s="160"/>
      <c r="AB439" s="159"/>
      <c r="AC439" s="158"/>
      <c r="AD439" s="160"/>
      <c r="AE439" s="160"/>
      <c r="AF439" s="157"/>
      <c r="AG439" s="157"/>
      <c r="AH439" s="159"/>
      <c r="AI439" s="45"/>
      <c r="AJ439" s="9"/>
      <c r="AK439" s="9"/>
      <c r="AL439" s="9"/>
      <c r="AM439" s="46"/>
      <c r="AN439" s="50"/>
      <c r="AO439" s="36"/>
      <c r="AP439" s="9"/>
      <c r="AQ439" s="9"/>
      <c r="AR439" s="9"/>
      <c r="AS439" s="9"/>
      <c r="AT439" s="9"/>
      <c r="AU439" s="9"/>
      <c r="AV439" s="9"/>
      <c r="AW439" s="10">
        <f t="shared" si="327"/>
        <v>0</v>
      </c>
      <c r="AY439" s="11">
        <f t="shared" si="330"/>
        <v>0</v>
      </c>
    </row>
    <row r="440" spans="5:51" ht="60" customHeight="1" x14ac:dyDescent="0.2">
      <c r="E440" s="151">
        <f>E439+1</f>
        <v>70101</v>
      </c>
      <c r="F440" s="170" t="s">
        <v>228</v>
      </c>
      <c r="G440" s="156">
        <v>3000000</v>
      </c>
      <c r="H440" s="157">
        <v>2200000</v>
      </c>
      <c r="I440" s="158">
        <v>3000000</v>
      </c>
      <c r="J440" s="159">
        <v>2600000</v>
      </c>
      <c r="K440" s="158">
        <v>3000000</v>
      </c>
      <c r="L440" s="159">
        <v>2500000</v>
      </c>
      <c r="M440" s="158">
        <v>3440000</v>
      </c>
      <c r="N440" s="159">
        <v>3000000</v>
      </c>
      <c r="O440" s="158">
        <v>3000000</v>
      </c>
      <c r="P440" s="159">
        <v>3000000</v>
      </c>
      <c r="Q440" s="165">
        <f>O440-M440</f>
        <v>-440000</v>
      </c>
      <c r="R440" s="166">
        <f>P440-N440</f>
        <v>0</v>
      </c>
      <c r="S440" s="156">
        <v>1070000</v>
      </c>
      <c r="T440" s="160"/>
      <c r="U440" s="157">
        <f>S440</f>
        <v>1070000</v>
      </c>
      <c r="V440" s="161">
        <v>8000000</v>
      </c>
      <c r="W440" s="158">
        <v>3000000</v>
      </c>
      <c r="X440" s="160"/>
      <c r="Y440" s="160"/>
      <c r="Z440" s="160"/>
      <c r="AA440" s="160">
        <f>W440/2</f>
        <v>1500000</v>
      </c>
      <c r="AB440" s="159">
        <f>W440-AA440</f>
        <v>1500000</v>
      </c>
      <c r="AC440" s="158">
        <f t="shared" ref="AC440:AC445" si="338">V440-W440</f>
        <v>5000000</v>
      </c>
      <c r="AD440" s="160"/>
      <c r="AE440" s="160"/>
      <c r="AF440" s="157"/>
      <c r="AG440" s="157">
        <f>AC440</f>
        <v>5000000</v>
      </c>
      <c r="AH440" s="159"/>
      <c r="AI440" s="35">
        <f t="shared" ref="AI440:AI450" si="339">AD440+X440</f>
        <v>0</v>
      </c>
      <c r="AJ440" s="11">
        <f t="shared" ref="AJ440:AJ450" si="340">AE440+Y440</f>
        <v>0</v>
      </c>
      <c r="AK440" s="11">
        <f t="shared" ref="AK440:AK450" si="341">AF440+Z440</f>
        <v>0</v>
      </c>
      <c r="AL440" s="11">
        <f t="shared" ref="AL440:AL450" si="342">AG440+AA440</f>
        <v>6500000</v>
      </c>
      <c r="AM440" s="76">
        <f t="shared" ref="AM440:AM450" si="343">AH440+AB440</f>
        <v>1500000</v>
      </c>
      <c r="AN440" s="51">
        <f t="shared" ref="AN440:AN448" si="344">SUM(AJ440:AM440)</f>
        <v>8000000</v>
      </c>
      <c r="AO440" s="36"/>
      <c r="AP440" s="9"/>
      <c r="AQ440" s="9"/>
      <c r="AR440" s="9"/>
      <c r="AS440" s="9"/>
      <c r="AT440" s="9"/>
      <c r="AU440" s="9"/>
      <c r="AV440" s="9">
        <f t="shared" ref="AV440:AV445" si="345">AU440+AT440+AS440+AR440</f>
        <v>0</v>
      </c>
      <c r="AW440" s="10">
        <f t="shared" si="327"/>
        <v>0</v>
      </c>
      <c r="AY440" s="11">
        <f t="shared" si="330"/>
        <v>0</v>
      </c>
    </row>
    <row r="441" spans="5:51" ht="60" customHeight="1" x14ac:dyDescent="0.2">
      <c r="E441" s="151">
        <f t="shared" ref="E441:E450" si="346">E440+1</f>
        <v>70102</v>
      </c>
      <c r="F441" s="162" t="s">
        <v>229</v>
      </c>
      <c r="G441" s="156">
        <v>2000000</v>
      </c>
      <c r="H441" s="157">
        <f>176545+20000+212000+745772</f>
        <v>1154317</v>
      </c>
      <c r="I441" s="158">
        <v>2000000</v>
      </c>
      <c r="J441" s="159">
        <v>1319553</v>
      </c>
      <c r="K441" s="158">
        <v>2000000</v>
      </c>
      <c r="L441" s="159">
        <f>3891+70000+300000+104000+620000</f>
        <v>1097891</v>
      </c>
      <c r="M441" s="158">
        <v>1500000</v>
      </c>
      <c r="N441" s="159">
        <f>87494+503000</f>
        <v>590494</v>
      </c>
      <c r="O441" s="158">
        <v>1500000</v>
      </c>
      <c r="P441" s="159">
        <v>1296284</v>
      </c>
      <c r="Q441" s="165">
        <f t="shared" ref="Q441:R448" si="347">O441-M441</f>
        <v>0</v>
      </c>
      <c r="R441" s="166">
        <f t="shared" si="347"/>
        <v>705790</v>
      </c>
      <c r="S441" s="156">
        <v>2300000</v>
      </c>
      <c r="T441" s="160">
        <f>S441-U441</f>
        <v>1900000</v>
      </c>
      <c r="U441" s="157">
        <v>400000</v>
      </c>
      <c r="V441" s="161">
        <v>1500000</v>
      </c>
      <c r="W441" s="158">
        <v>1500000</v>
      </c>
      <c r="X441" s="160">
        <f>W441</f>
        <v>1500000</v>
      </c>
      <c r="Y441" s="160"/>
      <c r="Z441" s="160"/>
      <c r="AA441" s="160"/>
      <c r="AB441" s="159"/>
      <c r="AC441" s="158">
        <f t="shared" si="338"/>
        <v>0</v>
      </c>
      <c r="AD441" s="160"/>
      <c r="AE441" s="160"/>
      <c r="AF441" s="157"/>
      <c r="AG441" s="157"/>
      <c r="AH441" s="159"/>
      <c r="AI441" s="35">
        <f t="shared" si="339"/>
        <v>1500000</v>
      </c>
      <c r="AJ441" s="11">
        <f t="shared" si="340"/>
        <v>0</v>
      </c>
      <c r="AK441" s="11">
        <f t="shared" si="341"/>
        <v>0</v>
      </c>
      <c r="AL441" s="11">
        <f t="shared" si="342"/>
        <v>0</v>
      </c>
      <c r="AM441" s="76">
        <f t="shared" si="343"/>
        <v>0</v>
      </c>
      <c r="AN441" s="51">
        <f t="shared" si="344"/>
        <v>0</v>
      </c>
      <c r="AO441" s="36"/>
      <c r="AP441" s="9"/>
      <c r="AQ441" s="9"/>
      <c r="AR441" s="9"/>
      <c r="AS441" s="9"/>
      <c r="AT441" s="9"/>
      <c r="AU441" s="9"/>
      <c r="AV441" s="9">
        <f t="shared" si="345"/>
        <v>0</v>
      </c>
      <c r="AW441" s="10">
        <f t="shared" si="327"/>
        <v>0</v>
      </c>
      <c r="AY441" s="11">
        <f t="shared" si="330"/>
        <v>0</v>
      </c>
    </row>
    <row r="442" spans="5:51" ht="60" customHeight="1" x14ac:dyDescent="0.2">
      <c r="E442" s="151">
        <f t="shared" si="346"/>
        <v>70103</v>
      </c>
      <c r="F442" s="162" t="s">
        <v>230</v>
      </c>
      <c r="G442" s="156">
        <v>400000</v>
      </c>
      <c r="H442" s="157">
        <f>G442</f>
        <v>400000</v>
      </c>
      <c r="I442" s="158">
        <v>550000</v>
      </c>
      <c r="J442" s="159">
        <f>I442</f>
        <v>550000</v>
      </c>
      <c r="K442" s="158">
        <v>200000</v>
      </c>
      <c r="L442" s="159">
        <v>200000</v>
      </c>
      <c r="M442" s="158">
        <v>200000</v>
      </c>
      <c r="N442" s="159">
        <v>200000</v>
      </c>
      <c r="O442" s="158">
        <v>200000</v>
      </c>
      <c r="P442" s="159">
        <v>200000</v>
      </c>
      <c r="Q442" s="165">
        <f t="shared" si="347"/>
        <v>0</v>
      </c>
      <c r="R442" s="166">
        <f t="shared" si="347"/>
        <v>0</v>
      </c>
      <c r="S442" s="156">
        <v>85000</v>
      </c>
      <c r="T442" s="160"/>
      <c r="U442" s="157">
        <f>S442</f>
        <v>85000</v>
      </c>
      <c r="V442" s="161">
        <v>200000</v>
      </c>
      <c r="W442" s="158">
        <v>200000</v>
      </c>
      <c r="X442" s="160"/>
      <c r="Y442" s="160">
        <f>W442</f>
        <v>200000</v>
      </c>
      <c r="Z442" s="160"/>
      <c r="AA442" s="160"/>
      <c r="AB442" s="159"/>
      <c r="AC442" s="158">
        <f t="shared" si="338"/>
        <v>0</v>
      </c>
      <c r="AD442" s="160"/>
      <c r="AE442" s="160"/>
      <c r="AF442" s="157"/>
      <c r="AG442" s="157"/>
      <c r="AH442" s="159"/>
      <c r="AI442" s="35">
        <f t="shared" si="339"/>
        <v>0</v>
      </c>
      <c r="AJ442" s="11">
        <f t="shared" si="340"/>
        <v>200000</v>
      </c>
      <c r="AK442" s="11">
        <f t="shared" si="341"/>
        <v>0</v>
      </c>
      <c r="AL442" s="11">
        <f t="shared" si="342"/>
        <v>0</v>
      </c>
      <c r="AM442" s="76">
        <f t="shared" si="343"/>
        <v>0</v>
      </c>
      <c r="AN442" s="51">
        <f t="shared" si="344"/>
        <v>200000</v>
      </c>
      <c r="AO442" s="36"/>
      <c r="AP442" s="9"/>
      <c r="AQ442" s="9"/>
      <c r="AR442" s="9"/>
      <c r="AS442" s="9"/>
      <c r="AT442" s="9"/>
      <c r="AU442" s="9"/>
      <c r="AV442" s="9">
        <f t="shared" si="345"/>
        <v>0</v>
      </c>
      <c r="AW442" s="10">
        <f t="shared" si="327"/>
        <v>0</v>
      </c>
      <c r="AY442" s="11">
        <f t="shared" si="330"/>
        <v>0</v>
      </c>
    </row>
    <row r="443" spans="5:51" ht="60" customHeight="1" x14ac:dyDescent="0.2">
      <c r="E443" s="151">
        <f t="shared" si="346"/>
        <v>70104</v>
      </c>
      <c r="F443" s="170" t="s">
        <v>231</v>
      </c>
      <c r="G443" s="156">
        <v>350000</v>
      </c>
      <c r="H443" s="157">
        <v>350000</v>
      </c>
      <c r="I443" s="158">
        <v>50000</v>
      </c>
      <c r="J443" s="159">
        <v>50000</v>
      </c>
      <c r="K443" s="158">
        <v>150000</v>
      </c>
      <c r="L443" s="159">
        <v>150000</v>
      </c>
      <c r="M443" s="158">
        <v>150000</v>
      </c>
      <c r="N443" s="159">
        <v>150000</v>
      </c>
      <c r="O443" s="158">
        <v>500000</v>
      </c>
      <c r="P443" s="159"/>
      <c r="Q443" s="165">
        <f t="shared" si="347"/>
        <v>350000</v>
      </c>
      <c r="R443" s="166">
        <f t="shared" si="347"/>
        <v>-150000</v>
      </c>
      <c r="S443" s="156">
        <v>80000</v>
      </c>
      <c r="T443" s="160"/>
      <c r="U443" s="157">
        <f>S443</f>
        <v>80000</v>
      </c>
      <c r="V443" s="161">
        <v>450000</v>
      </c>
      <c r="W443" s="158">
        <v>150000</v>
      </c>
      <c r="X443" s="160"/>
      <c r="Y443" s="160"/>
      <c r="Z443" s="160"/>
      <c r="AA443" s="160">
        <f>W443/2</f>
        <v>75000</v>
      </c>
      <c r="AB443" s="159">
        <f>W443-AA443</f>
        <v>75000</v>
      </c>
      <c r="AC443" s="158">
        <f t="shared" si="338"/>
        <v>300000</v>
      </c>
      <c r="AD443" s="160"/>
      <c r="AE443" s="160"/>
      <c r="AF443" s="157"/>
      <c r="AG443" s="160">
        <f>AC443/2</f>
        <v>150000</v>
      </c>
      <c r="AH443" s="159">
        <f>AC443-AG443</f>
        <v>150000</v>
      </c>
      <c r="AI443" s="35">
        <f t="shared" si="339"/>
        <v>0</v>
      </c>
      <c r="AJ443" s="11">
        <f t="shared" si="340"/>
        <v>0</v>
      </c>
      <c r="AK443" s="11">
        <f t="shared" si="341"/>
        <v>0</v>
      </c>
      <c r="AL443" s="11">
        <f t="shared" si="342"/>
        <v>225000</v>
      </c>
      <c r="AM443" s="76">
        <f t="shared" si="343"/>
        <v>225000</v>
      </c>
      <c r="AN443" s="51">
        <f t="shared" si="344"/>
        <v>450000</v>
      </c>
      <c r="AO443" s="36"/>
      <c r="AP443" s="9"/>
      <c r="AQ443" s="9"/>
      <c r="AR443" s="9"/>
      <c r="AS443" s="9"/>
      <c r="AT443" s="9"/>
      <c r="AU443" s="9"/>
      <c r="AV443" s="9">
        <f t="shared" si="345"/>
        <v>0</v>
      </c>
      <c r="AW443" s="10">
        <f t="shared" si="327"/>
        <v>0</v>
      </c>
      <c r="AY443" s="11">
        <f t="shared" si="330"/>
        <v>0</v>
      </c>
    </row>
    <row r="444" spans="5:51" ht="60" customHeight="1" x14ac:dyDescent="0.2">
      <c r="E444" s="151">
        <f t="shared" si="346"/>
        <v>70105</v>
      </c>
      <c r="F444" s="162" t="s">
        <v>232</v>
      </c>
      <c r="G444" s="156">
        <v>2000000</v>
      </c>
      <c r="H444" s="157">
        <v>600000</v>
      </c>
      <c r="I444" s="158">
        <v>2000000</v>
      </c>
      <c r="J444" s="159">
        <v>2000000</v>
      </c>
      <c r="K444" s="158">
        <v>3000000</v>
      </c>
      <c r="L444" s="159"/>
      <c r="M444" s="158">
        <v>2000000</v>
      </c>
      <c r="N444" s="159">
        <v>1000000</v>
      </c>
      <c r="O444" s="158">
        <v>3300000</v>
      </c>
      <c r="P444" s="159">
        <v>3300000</v>
      </c>
      <c r="Q444" s="165">
        <f t="shared" si="347"/>
        <v>1300000</v>
      </c>
      <c r="R444" s="166">
        <f t="shared" si="347"/>
        <v>2300000</v>
      </c>
      <c r="S444" s="156">
        <v>1250000</v>
      </c>
      <c r="T444" s="160"/>
      <c r="U444" s="157">
        <f>S444</f>
        <v>1250000</v>
      </c>
      <c r="V444" s="161">
        <v>2000000</v>
      </c>
      <c r="W444" s="158">
        <v>2000000</v>
      </c>
      <c r="X444" s="160"/>
      <c r="Y444" s="160"/>
      <c r="Z444" s="160"/>
      <c r="AA444" s="160">
        <f>W444/2</f>
        <v>1000000</v>
      </c>
      <c r="AB444" s="159">
        <f>W444-AA444</f>
        <v>1000000</v>
      </c>
      <c r="AC444" s="158">
        <f t="shared" si="338"/>
        <v>0</v>
      </c>
      <c r="AD444" s="160"/>
      <c r="AE444" s="160"/>
      <c r="AF444" s="157"/>
      <c r="AG444" s="157"/>
      <c r="AH444" s="159"/>
      <c r="AI444" s="35">
        <f t="shared" si="339"/>
        <v>0</v>
      </c>
      <c r="AJ444" s="11">
        <f t="shared" si="340"/>
        <v>0</v>
      </c>
      <c r="AK444" s="11">
        <f t="shared" si="341"/>
        <v>0</v>
      </c>
      <c r="AL444" s="11">
        <f t="shared" si="342"/>
        <v>1000000</v>
      </c>
      <c r="AM444" s="76">
        <f t="shared" si="343"/>
        <v>1000000</v>
      </c>
      <c r="AN444" s="51">
        <f t="shared" si="344"/>
        <v>2000000</v>
      </c>
      <c r="AO444" s="36"/>
      <c r="AP444" s="9"/>
      <c r="AQ444" s="9"/>
      <c r="AR444" s="9"/>
      <c r="AS444" s="9"/>
      <c r="AT444" s="9"/>
      <c r="AU444" s="9"/>
      <c r="AV444" s="9">
        <f t="shared" si="345"/>
        <v>0</v>
      </c>
      <c r="AW444" s="10">
        <f t="shared" si="327"/>
        <v>0</v>
      </c>
      <c r="AY444" s="11">
        <f t="shared" si="330"/>
        <v>0</v>
      </c>
    </row>
    <row r="445" spans="5:51" ht="60" customHeight="1" x14ac:dyDescent="0.2">
      <c r="E445" s="151">
        <f t="shared" si="346"/>
        <v>70106</v>
      </c>
      <c r="F445" s="170" t="s">
        <v>306</v>
      </c>
      <c r="G445" s="156"/>
      <c r="H445" s="157"/>
      <c r="I445" s="158">
        <v>2000000</v>
      </c>
      <c r="J445" s="159">
        <v>1500000</v>
      </c>
      <c r="K445" s="158">
        <v>3140000</v>
      </c>
      <c r="L445" s="159">
        <f>1700000+270000+1140000</f>
        <v>3110000</v>
      </c>
      <c r="M445" s="158">
        <v>2000000</v>
      </c>
      <c r="N445" s="159">
        <v>2000000</v>
      </c>
      <c r="O445" s="158">
        <v>3208000</v>
      </c>
      <c r="P445" s="159">
        <v>3208000</v>
      </c>
      <c r="Q445" s="165">
        <f t="shared" si="347"/>
        <v>1208000</v>
      </c>
      <c r="R445" s="166">
        <f t="shared" si="347"/>
        <v>1208000</v>
      </c>
      <c r="S445" s="156">
        <v>635000</v>
      </c>
      <c r="T445" s="160"/>
      <c r="U445" s="157">
        <f>S445</f>
        <v>635000</v>
      </c>
      <c r="V445" s="161">
        <v>3050000</v>
      </c>
      <c r="W445" s="158">
        <v>0</v>
      </c>
      <c r="X445" s="160"/>
      <c r="Y445" s="160">
        <f>W445</f>
        <v>0</v>
      </c>
      <c r="Z445" s="160"/>
      <c r="AA445" s="160"/>
      <c r="AB445" s="159"/>
      <c r="AC445" s="158">
        <f t="shared" si="338"/>
        <v>3050000</v>
      </c>
      <c r="AD445" s="160"/>
      <c r="AE445" s="160"/>
      <c r="AF445" s="157"/>
      <c r="AG445" s="157">
        <f>AC445</f>
        <v>3050000</v>
      </c>
      <c r="AH445" s="159"/>
      <c r="AI445" s="35">
        <f t="shared" si="339"/>
        <v>0</v>
      </c>
      <c r="AJ445" s="11">
        <f t="shared" si="340"/>
        <v>0</v>
      </c>
      <c r="AK445" s="11">
        <f t="shared" si="341"/>
        <v>0</v>
      </c>
      <c r="AL445" s="11">
        <f t="shared" si="342"/>
        <v>3050000</v>
      </c>
      <c r="AM445" s="76">
        <f t="shared" si="343"/>
        <v>0</v>
      </c>
      <c r="AN445" s="51">
        <f t="shared" si="344"/>
        <v>3050000</v>
      </c>
      <c r="AO445" s="36"/>
      <c r="AP445" s="9"/>
      <c r="AQ445" s="9"/>
      <c r="AR445" s="9"/>
      <c r="AS445" s="9"/>
      <c r="AT445" s="9"/>
      <c r="AU445" s="9"/>
      <c r="AV445" s="9">
        <f t="shared" si="345"/>
        <v>0</v>
      </c>
      <c r="AW445" s="10"/>
      <c r="AY445" s="11">
        <f t="shared" si="330"/>
        <v>0</v>
      </c>
    </row>
    <row r="446" spans="5:51" ht="60" customHeight="1" x14ac:dyDescent="0.2">
      <c r="E446" s="151">
        <f t="shared" si="346"/>
        <v>70107</v>
      </c>
      <c r="F446" s="162" t="s">
        <v>509</v>
      </c>
      <c r="G446" s="156"/>
      <c r="H446" s="157"/>
      <c r="I446" s="158"/>
      <c r="J446" s="159"/>
      <c r="K446" s="158"/>
      <c r="L446" s="159"/>
      <c r="M446" s="158"/>
      <c r="N446" s="159"/>
      <c r="O446" s="158"/>
      <c r="P446" s="159"/>
      <c r="Q446" s="165"/>
      <c r="R446" s="166"/>
      <c r="S446" s="156"/>
      <c r="T446" s="160"/>
      <c r="U446" s="157"/>
      <c r="V446" s="161">
        <v>5000000</v>
      </c>
      <c r="W446" s="158"/>
      <c r="X446" s="160"/>
      <c r="Y446" s="160"/>
      <c r="Z446" s="160"/>
      <c r="AA446" s="160"/>
      <c r="AB446" s="159"/>
      <c r="AC446" s="158">
        <f>V446</f>
        <v>5000000</v>
      </c>
      <c r="AD446" s="160"/>
      <c r="AE446" s="160"/>
      <c r="AF446" s="157"/>
      <c r="AG446" s="157">
        <f>AC446</f>
        <v>5000000</v>
      </c>
      <c r="AH446" s="159"/>
      <c r="AI446" s="35">
        <f t="shared" si="339"/>
        <v>0</v>
      </c>
      <c r="AJ446" s="11">
        <f t="shared" si="340"/>
        <v>0</v>
      </c>
      <c r="AK446" s="11">
        <f t="shared" si="341"/>
        <v>0</v>
      </c>
      <c r="AL446" s="11">
        <f t="shared" si="342"/>
        <v>5000000</v>
      </c>
      <c r="AM446" s="76">
        <f t="shared" si="343"/>
        <v>0</v>
      </c>
      <c r="AN446" s="51">
        <f t="shared" si="344"/>
        <v>5000000</v>
      </c>
      <c r="AO446" s="36"/>
      <c r="AP446" s="9"/>
      <c r="AQ446" s="9"/>
      <c r="AR446" s="9"/>
      <c r="AS446" s="9"/>
      <c r="AT446" s="9"/>
      <c r="AU446" s="9"/>
      <c r="AV446" s="9"/>
      <c r="AW446" s="10"/>
      <c r="AY446" s="11"/>
    </row>
    <row r="447" spans="5:51" ht="60" customHeight="1" x14ac:dyDescent="0.2">
      <c r="E447" s="151">
        <f t="shared" si="346"/>
        <v>70108</v>
      </c>
      <c r="F447" s="170" t="s">
        <v>288</v>
      </c>
      <c r="G447" s="156"/>
      <c r="H447" s="157"/>
      <c r="I447" s="158"/>
      <c r="J447" s="159"/>
      <c r="K447" s="158"/>
      <c r="L447" s="159"/>
      <c r="M447" s="158">
        <v>300000</v>
      </c>
      <c r="N447" s="159">
        <v>300000</v>
      </c>
      <c r="O447" s="158">
        <v>400000</v>
      </c>
      <c r="P447" s="159">
        <v>400000</v>
      </c>
      <c r="Q447" s="165">
        <f t="shared" si="347"/>
        <v>100000</v>
      </c>
      <c r="R447" s="166">
        <f t="shared" si="347"/>
        <v>100000</v>
      </c>
      <c r="S447" s="156"/>
      <c r="T447" s="160"/>
      <c r="U447" s="157"/>
      <c r="V447" s="161">
        <v>21400000</v>
      </c>
      <c r="W447" s="158"/>
      <c r="X447" s="160"/>
      <c r="Y447" s="160"/>
      <c r="Z447" s="160"/>
      <c r="AA447" s="160"/>
      <c r="AB447" s="159"/>
      <c r="AC447" s="158">
        <f>V447-W447</f>
        <v>21400000</v>
      </c>
      <c r="AD447" s="160"/>
      <c r="AE447" s="160">
        <f>AC447/2</f>
        <v>10700000</v>
      </c>
      <c r="AF447" s="157">
        <f>AC447-AE447</f>
        <v>10700000</v>
      </c>
      <c r="AG447" s="157"/>
      <c r="AH447" s="159"/>
      <c r="AI447" s="35">
        <f t="shared" si="339"/>
        <v>0</v>
      </c>
      <c r="AJ447" s="11">
        <f t="shared" si="340"/>
        <v>10700000</v>
      </c>
      <c r="AK447" s="11">
        <f t="shared" si="341"/>
        <v>10700000</v>
      </c>
      <c r="AL447" s="11">
        <f t="shared" si="342"/>
        <v>0</v>
      </c>
      <c r="AM447" s="76">
        <f t="shared" si="343"/>
        <v>0</v>
      </c>
      <c r="AN447" s="51">
        <f t="shared" si="344"/>
        <v>21400000</v>
      </c>
      <c r="AO447" s="36"/>
      <c r="AP447" s="9"/>
      <c r="AQ447" s="9"/>
      <c r="AR447" s="9"/>
      <c r="AS447" s="9"/>
      <c r="AT447" s="9"/>
      <c r="AU447" s="9"/>
      <c r="AV447" s="9"/>
      <c r="AW447" s="10"/>
      <c r="AY447" s="11">
        <f>V447-W447-AC447</f>
        <v>0</v>
      </c>
    </row>
    <row r="448" spans="5:51" ht="60" customHeight="1" x14ac:dyDescent="0.2">
      <c r="E448" s="151">
        <f t="shared" si="346"/>
        <v>70109</v>
      </c>
      <c r="F448" s="170" t="s">
        <v>423</v>
      </c>
      <c r="G448" s="156"/>
      <c r="H448" s="157"/>
      <c r="I448" s="158"/>
      <c r="J448" s="159"/>
      <c r="K448" s="158"/>
      <c r="L448" s="159"/>
      <c r="M448" s="158"/>
      <c r="N448" s="159"/>
      <c r="O448" s="158">
        <v>1760000</v>
      </c>
      <c r="P448" s="159">
        <v>250000</v>
      </c>
      <c r="Q448" s="165">
        <f t="shared" si="347"/>
        <v>1760000</v>
      </c>
      <c r="R448" s="166">
        <f t="shared" si="347"/>
        <v>250000</v>
      </c>
      <c r="S448" s="156">
        <v>50000</v>
      </c>
      <c r="T448" s="160"/>
      <c r="U448" s="157">
        <f>+S448</f>
        <v>50000</v>
      </c>
      <c r="V448" s="161">
        <f>3900000-400000</f>
        <v>3500000</v>
      </c>
      <c r="W448" s="158">
        <v>250000</v>
      </c>
      <c r="X448" s="160"/>
      <c r="Y448" s="160"/>
      <c r="Z448" s="160"/>
      <c r="AA448" s="160">
        <f>W448/2</f>
        <v>125000</v>
      </c>
      <c r="AB448" s="159">
        <f>W448-AA448</f>
        <v>125000</v>
      </c>
      <c r="AC448" s="158">
        <f>V448-W448</f>
        <v>3250000</v>
      </c>
      <c r="AD448" s="160"/>
      <c r="AE448" s="160"/>
      <c r="AF448" s="157"/>
      <c r="AG448" s="160">
        <f>AC448/2</f>
        <v>1625000</v>
      </c>
      <c r="AH448" s="159">
        <f>AC448-AG448</f>
        <v>1625000</v>
      </c>
      <c r="AI448" s="35">
        <f t="shared" si="339"/>
        <v>0</v>
      </c>
      <c r="AJ448" s="11">
        <f t="shared" si="340"/>
        <v>0</v>
      </c>
      <c r="AK448" s="11">
        <f t="shared" si="341"/>
        <v>0</v>
      </c>
      <c r="AL448" s="11">
        <f t="shared" si="342"/>
        <v>1750000</v>
      </c>
      <c r="AM448" s="76">
        <f t="shared" si="343"/>
        <v>1750000</v>
      </c>
      <c r="AN448" s="51">
        <f t="shared" si="344"/>
        <v>3500000</v>
      </c>
      <c r="AO448" s="36"/>
      <c r="AP448" s="9"/>
      <c r="AQ448" s="9"/>
      <c r="AR448" s="9"/>
      <c r="AS448" s="9"/>
      <c r="AT448" s="9"/>
      <c r="AU448" s="9"/>
      <c r="AV448" s="9"/>
      <c r="AW448" s="10"/>
      <c r="AY448" s="11"/>
    </row>
    <row r="449" spans="5:51" ht="60" customHeight="1" x14ac:dyDescent="0.2">
      <c r="E449" s="151">
        <f t="shared" si="346"/>
        <v>70110</v>
      </c>
      <c r="F449" s="170" t="s">
        <v>538</v>
      </c>
      <c r="G449" s="156"/>
      <c r="H449" s="157"/>
      <c r="I449" s="158"/>
      <c r="J449" s="159"/>
      <c r="K449" s="158"/>
      <c r="L449" s="159"/>
      <c r="M449" s="158"/>
      <c r="N449" s="159"/>
      <c r="O449" s="158"/>
      <c r="P449" s="159"/>
      <c r="Q449" s="165"/>
      <c r="R449" s="166"/>
      <c r="S449" s="156"/>
      <c r="T449" s="160"/>
      <c r="U449" s="157"/>
      <c r="V449" s="161">
        <v>1913000</v>
      </c>
      <c r="W449" s="158"/>
      <c r="X449" s="160"/>
      <c r="Y449" s="160"/>
      <c r="Z449" s="160"/>
      <c r="AA449" s="160"/>
      <c r="AB449" s="159"/>
      <c r="AC449" s="158">
        <f>V449</f>
        <v>1913000</v>
      </c>
      <c r="AD449" s="160"/>
      <c r="AE449" s="160"/>
      <c r="AF449" s="157"/>
      <c r="AG449" s="157">
        <f>AC449</f>
        <v>1913000</v>
      </c>
      <c r="AH449" s="159"/>
      <c r="AI449" s="35">
        <f t="shared" si="339"/>
        <v>0</v>
      </c>
      <c r="AJ449" s="11">
        <f t="shared" si="340"/>
        <v>0</v>
      </c>
      <c r="AK449" s="11">
        <f t="shared" si="341"/>
        <v>0</v>
      </c>
      <c r="AL449" s="11">
        <f t="shared" si="342"/>
        <v>1913000</v>
      </c>
      <c r="AM449" s="76">
        <f t="shared" si="343"/>
        <v>0</v>
      </c>
      <c r="AN449" s="51"/>
      <c r="AO449" s="36"/>
      <c r="AP449" s="9"/>
      <c r="AQ449" s="9"/>
      <c r="AR449" s="9"/>
      <c r="AS449" s="9"/>
      <c r="AT449" s="9"/>
      <c r="AU449" s="9"/>
      <c r="AV449" s="9"/>
      <c r="AW449" s="10"/>
      <c r="AY449" s="11"/>
    </row>
    <row r="450" spans="5:51" ht="60" customHeight="1" x14ac:dyDescent="0.2">
      <c r="E450" s="151">
        <f t="shared" si="346"/>
        <v>70111</v>
      </c>
      <c r="F450" s="170" t="s">
        <v>539</v>
      </c>
      <c r="G450" s="156"/>
      <c r="H450" s="157"/>
      <c r="I450" s="158"/>
      <c r="J450" s="159"/>
      <c r="K450" s="158"/>
      <c r="L450" s="159"/>
      <c r="M450" s="158"/>
      <c r="N450" s="159"/>
      <c r="O450" s="158"/>
      <c r="P450" s="159"/>
      <c r="Q450" s="165"/>
      <c r="R450" s="166"/>
      <c r="S450" s="156"/>
      <c r="T450" s="160"/>
      <c r="U450" s="157"/>
      <c r="V450" s="161">
        <v>2538000</v>
      </c>
      <c r="W450" s="158">
        <f>V450</f>
        <v>2538000</v>
      </c>
      <c r="X450" s="160">
        <v>2000000</v>
      </c>
      <c r="Y450" s="160"/>
      <c r="Z450" s="160"/>
      <c r="AA450" s="160">
        <f>(W450-X450)/2</f>
        <v>269000</v>
      </c>
      <c r="AB450" s="159">
        <f>W450-X450-AA450</f>
        <v>269000</v>
      </c>
      <c r="AC450" s="158"/>
      <c r="AD450" s="160"/>
      <c r="AE450" s="160"/>
      <c r="AF450" s="157"/>
      <c r="AG450" s="157"/>
      <c r="AH450" s="159"/>
      <c r="AI450" s="35">
        <f t="shared" si="339"/>
        <v>2000000</v>
      </c>
      <c r="AJ450" s="11">
        <f t="shared" si="340"/>
        <v>0</v>
      </c>
      <c r="AK450" s="11">
        <f t="shared" si="341"/>
        <v>0</v>
      </c>
      <c r="AL450" s="11">
        <f t="shared" si="342"/>
        <v>269000</v>
      </c>
      <c r="AM450" s="76">
        <f t="shared" si="343"/>
        <v>269000</v>
      </c>
      <c r="AN450" s="51"/>
      <c r="AO450" s="36"/>
      <c r="AP450" s="9"/>
      <c r="AQ450" s="9"/>
      <c r="AR450" s="9"/>
      <c r="AS450" s="9"/>
      <c r="AT450" s="9"/>
      <c r="AU450" s="9"/>
      <c r="AV450" s="9"/>
      <c r="AW450" s="10"/>
      <c r="AY450" s="11"/>
    </row>
    <row r="451" spans="5:51" ht="60" customHeight="1" x14ac:dyDescent="0.2">
      <c r="E451" s="151"/>
      <c r="F451" s="127" t="s">
        <v>233</v>
      </c>
      <c r="G451" s="118">
        <f t="shared" ref="G451:AV451" si="348">SUM(G440:G450)</f>
        <v>7750000</v>
      </c>
      <c r="H451" s="116">
        <f t="shared" si="348"/>
        <v>4704317</v>
      </c>
      <c r="I451" s="115">
        <f t="shared" si="348"/>
        <v>9600000</v>
      </c>
      <c r="J451" s="117">
        <f t="shared" si="348"/>
        <v>8019553</v>
      </c>
      <c r="K451" s="115">
        <f t="shared" si="348"/>
        <v>11490000</v>
      </c>
      <c r="L451" s="117">
        <f t="shared" si="348"/>
        <v>7057891</v>
      </c>
      <c r="M451" s="115">
        <f t="shared" si="348"/>
        <v>9590000</v>
      </c>
      <c r="N451" s="117">
        <f t="shared" si="348"/>
        <v>7240494</v>
      </c>
      <c r="O451" s="115">
        <f t="shared" si="348"/>
        <v>13868000</v>
      </c>
      <c r="P451" s="117">
        <f t="shared" si="348"/>
        <v>11654284</v>
      </c>
      <c r="Q451" s="115">
        <f t="shared" si="348"/>
        <v>4278000</v>
      </c>
      <c r="R451" s="117">
        <f t="shared" si="348"/>
        <v>4413790</v>
      </c>
      <c r="S451" s="118">
        <f t="shared" si="348"/>
        <v>5470000</v>
      </c>
      <c r="T451" s="120">
        <f t="shared" si="348"/>
        <v>1900000</v>
      </c>
      <c r="U451" s="116">
        <f t="shared" si="348"/>
        <v>3570000</v>
      </c>
      <c r="V451" s="119">
        <f t="shared" si="348"/>
        <v>49551000</v>
      </c>
      <c r="W451" s="115">
        <f t="shared" si="348"/>
        <v>9638000</v>
      </c>
      <c r="X451" s="120">
        <f t="shared" si="348"/>
        <v>3500000</v>
      </c>
      <c r="Y451" s="120">
        <f t="shared" si="348"/>
        <v>200000</v>
      </c>
      <c r="Z451" s="120">
        <f t="shared" si="348"/>
        <v>0</v>
      </c>
      <c r="AA451" s="120">
        <f t="shared" si="348"/>
        <v>2969000</v>
      </c>
      <c r="AB451" s="117">
        <f t="shared" si="348"/>
        <v>2969000</v>
      </c>
      <c r="AC451" s="115">
        <f t="shared" si="348"/>
        <v>39913000</v>
      </c>
      <c r="AD451" s="120">
        <f t="shared" si="348"/>
        <v>0</v>
      </c>
      <c r="AE451" s="120">
        <f t="shared" si="348"/>
        <v>10700000</v>
      </c>
      <c r="AF451" s="116">
        <f t="shared" si="348"/>
        <v>10700000</v>
      </c>
      <c r="AG451" s="116">
        <f t="shared" si="348"/>
        <v>16738000</v>
      </c>
      <c r="AH451" s="117">
        <f t="shared" si="348"/>
        <v>1775000</v>
      </c>
      <c r="AI451" s="47">
        <f t="shared" si="348"/>
        <v>3500000</v>
      </c>
      <c r="AJ451" s="10">
        <f t="shared" si="348"/>
        <v>10900000</v>
      </c>
      <c r="AK451" s="10">
        <f t="shared" si="348"/>
        <v>10700000</v>
      </c>
      <c r="AL451" s="10">
        <f t="shared" si="348"/>
        <v>19707000</v>
      </c>
      <c r="AM451" s="48">
        <f t="shared" si="348"/>
        <v>4744000</v>
      </c>
      <c r="AN451" s="52">
        <f t="shared" si="348"/>
        <v>43600000</v>
      </c>
      <c r="AO451" s="39">
        <f t="shared" si="348"/>
        <v>0</v>
      </c>
      <c r="AP451" s="10">
        <f t="shared" si="348"/>
        <v>0</v>
      </c>
      <c r="AQ451" s="10">
        <f t="shared" si="348"/>
        <v>0</v>
      </c>
      <c r="AR451" s="10">
        <f t="shared" si="348"/>
        <v>0</v>
      </c>
      <c r="AS451" s="10">
        <f t="shared" si="348"/>
        <v>0</v>
      </c>
      <c r="AT451" s="10">
        <f t="shared" si="348"/>
        <v>0</v>
      </c>
      <c r="AU451" s="10">
        <f t="shared" si="348"/>
        <v>0</v>
      </c>
      <c r="AV451" s="10">
        <f t="shared" si="348"/>
        <v>0</v>
      </c>
      <c r="AW451" s="10">
        <f t="shared" si="327"/>
        <v>0</v>
      </c>
      <c r="AY451" s="11">
        <f t="shared" ref="AY451:AY473" si="349">V451-W451-AC451</f>
        <v>0</v>
      </c>
    </row>
    <row r="452" spans="5:51" ht="60" customHeight="1" x14ac:dyDescent="0.2">
      <c r="E452" s="151"/>
      <c r="F452" s="155" t="s">
        <v>294</v>
      </c>
      <c r="G452" s="156"/>
      <c r="H452" s="157"/>
      <c r="I452" s="158"/>
      <c r="J452" s="159"/>
      <c r="K452" s="158"/>
      <c r="L452" s="159"/>
      <c r="M452" s="158"/>
      <c r="N452" s="159"/>
      <c r="O452" s="158"/>
      <c r="P452" s="159"/>
      <c r="Q452" s="158"/>
      <c r="R452" s="159"/>
      <c r="S452" s="156"/>
      <c r="T452" s="160"/>
      <c r="U452" s="157"/>
      <c r="V452" s="161"/>
      <c r="W452" s="158"/>
      <c r="X452" s="160"/>
      <c r="Y452" s="160"/>
      <c r="Z452" s="160"/>
      <c r="AA452" s="160"/>
      <c r="AB452" s="159"/>
      <c r="AC452" s="158"/>
      <c r="AD452" s="160"/>
      <c r="AE452" s="160"/>
      <c r="AF452" s="157"/>
      <c r="AG452" s="157"/>
      <c r="AH452" s="159"/>
      <c r="AI452" s="45"/>
      <c r="AJ452" s="9"/>
      <c r="AK452" s="9"/>
      <c r="AL452" s="9"/>
      <c r="AM452" s="46"/>
      <c r="AN452" s="50"/>
      <c r="AO452" s="36"/>
      <c r="AP452" s="9"/>
      <c r="AQ452" s="9"/>
      <c r="AR452" s="9"/>
      <c r="AS452" s="9"/>
      <c r="AT452" s="9"/>
      <c r="AU452" s="9"/>
      <c r="AV452" s="9"/>
      <c r="AW452" s="10">
        <f t="shared" si="327"/>
        <v>0</v>
      </c>
      <c r="AY452" s="11">
        <f t="shared" si="349"/>
        <v>0</v>
      </c>
    </row>
    <row r="453" spans="5:51" ht="60" customHeight="1" x14ac:dyDescent="0.2">
      <c r="E453" s="151">
        <v>80100</v>
      </c>
      <c r="F453" s="155" t="s">
        <v>552</v>
      </c>
      <c r="G453" s="156"/>
      <c r="H453" s="157"/>
      <c r="I453" s="158"/>
      <c r="J453" s="159"/>
      <c r="K453" s="158"/>
      <c r="L453" s="159"/>
      <c r="M453" s="158"/>
      <c r="N453" s="159"/>
      <c r="O453" s="158"/>
      <c r="P453" s="159"/>
      <c r="Q453" s="158"/>
      <c r="R453" s="159"/>
      <c r="S453" s="156"/>
      <c r="T453" s="160"/>
      <c r="U453" s="157"/>
      <c r="V453" s="161"/>
      <c r="W453" s="158"/>
      <c r="X453" s="160"/>
      <c r="Y453" s="160"/>
      <c r="Z453" s="160"/>
      <c r="AA453" s="160"/>
      <c r="AB453" s="159"/>
      <c r="AC453" s="158"/>
      <c r="AD453" s="160"/>
      <c r="AE453" s="160"/>
      <c r="AF453" s="157"/>
      <c r="AG453" s="157"/>
      <c r="AH453" s="159"/>
      <c r="AI453" s="45"/>
      <c r="AJ453" s="9"/>
      <c r="AK453" s="9"/>
      <c r="AL453" s="9"/>
      <c r="AM453" s="46"/>
      <c r="AN453" s="50"/>
      <c r="AO453" s="36"/>
      <c r="AP453" s="9"/>
      <c r="AQ453" s="9"/>
      <c r="AR453" s="9"/>
      <c r="AS453" s="9"/>
      <c r="AT453" s="9"/>
      <c r="AU453" s="9"/>
      <c r="AV453" s="9"/>
      <c r="AW453" s="10">
        <f t="shared" si="327"/>
        <v>0</v>
      </c>
      <c r="AY453" s="11">
        <f t="shared" si="349"/>
        <v>0</v>
      </c>
    </row>
    <row r="454" spans="5:51" ht="60" customHeight="1" x14ac:dyDescent="0.2">
      <c r="E454" s="151">
        <f t="shared" ref="E454:E468" si="350">+E453+1</f>
        <v>80101</v>
      </c>
      <c r="F454" s="162" t="s">
        <v>234</v>
      </c>
      <c r="G454" s="156">
        <v>15000000</v>
      </c>
      <c r="H454" s="157"/>
      <c r="I454" s="158"/>
      <c r="J454" s="159"/>
      <c r="K454" s="158">
        <v>30000000</v>
      </c>
      <c r="L454" s="159">
        <f>61000+5000+282000+12000+86000+410000+547000+2992000</f>
        <v>4395000</v>
      </c>
      <c r="M454" s="158">
        <v>35000000</v>
      </c>
      <c r="N454" s="159">
        <f>35000000+4836000</f>
        <v>39836000</v>
      </c>
      <c r="O454" s="158">
        <v>60000000</v>
      </c>
      <c r="P454" s="159">
        <f>60000000-33184000</f>
        <v>26816000</v>
      </c>
      <c r="Q454" s="165">
        <f>O454-M454</f>
        <v>25000000</v>
      </c>
      <c r="R454" s="166">
        <f>P454-N454</f>
        <v>-13020000</v>
      </c>
      <c r="S454" s="156"/>
      <c r="T454" s="160"/>
      <c r="U454" s="157"/>
      <c r="V454" s="161">
        <v>100000000</v>
      </c>
      <c r="W454" s="158">
        <f>V454/2</f>
        <v>50000000</v>
      </c>
      <c r="X454" s="160">
        <f>W454*0.85</f>
        <v>42500000</v>
      </c>
      <c r="Y454" s="160">
        <f>W454-X454</f>
        <v>7500000</v>
      </c>
      <c r="Z454" s="160"/>
      <c r="AA454" s="160"/>
      <c r="AB454" s="159"/>
      <c r="AC454" s="158">
        <f t="shared" ref="AC454:AC468" si="351">V454-W454</f>
        <v>50000000</v>
      </c>
      <c r="AD454" s="160">
        <f>AC454*0.85</f>
        <v>42500000</v>
      </c>
      <c r="AE454" s="160">
        <f>AC454-AD454</f>
        <v>7500000</v>
      </c>
      <c r="AF454" s="157"/>
      <c r="AG454" s="157"/>
      <c r="AH454" s="159"/>
      <c r="AI454" s="35">
        <f t="shared" ref="AI454:AI468" si="352">AD454+X454</f>
        <v>85000000</v>
      </c>
      <c r="AJ454" s="11">
        <f t="shared" ref="AJ454:AJ468" si="353">AE454+Y454</f>
        <v>15000000</v>
      </c>
      <c r="AK454" s="11">
        <f t="shared" ref="AK454:AK468" si="354">AF454+Z454</f>
        <v>0</v>
      </c>
      <c r="AL454" s="11">
        <f t="shared" ref="AL454:AL468" si="355">AG454+AA454</f>
        <v>0</v>
      </c>
      <c r="AM454" s="76">
        <f t="shared" ref="AM454:AM468" si="356">AH454+AB454</f>
        <v>0</v>
      </c>
      <c r="AN454" s="51">
        <f t="shared" ref="AN454:AN468" si="357">SUM(AJ454:AM454)</f>
        <v>15000000</v>
      </c>
      <c r="AO454" s="36"/>
      <c r="AP454" s="9"/>
      <c r="AQ454" s="9"/>
      <c r="AR454" s="9"/>
      <c r="AS454" s="9"/>
      <c r="AT454" s="9"/>
      <c r="AU454" s="9"/>
      <c r="AV454" s="9">
        <f t="shared" ref="AV454:AV467" si="358">AU454+AT454+AS454+AR454</f>
        <v>0</v>
      </c>
      <c r="AW454" s="10">
        <f t="shared" si="327"/>
        <v>0</v>
      </c>
      <c r="AY454" s="11">
        <f t="shared" si="349"/>
        <v>0</v>
      </c>
    </row>
    <row r="455" spans="5:51" ht="60" customHeight="1" x14ac:dyDescent="0.2">
      <c r="E455" s="151">
        <f t="shared" si="350"/>
        <v>80102</v>
      </c>
      <c r="F455" s="162" t="s">
        <v>235</v>
      </c>
      <c r="G455" s="156">
        <v>2500000</v>
      </c>
      <c r="H455" s="157">
        <f>G455-560000</f>
        <v>1940000</v>
      </c>
      <c r="I455" s="158">
        <v>2000000</v>
      </c>
      <c r="J455" s="159">
        <v>3458000</v>
      </c>
      <c r="K455" s="158">
        <v>2000000</v>
      </c>
      <c r="L455" s="159">
        <f>120000+221000+161000+500000+262000+424000+430000+174000+966000</f>
        <v>3258000</v>
      </c>
      <c r="M455" s="158">
        <v>1000000</v>
      </c>
      <c r="N455" s="159">
        <f>M455+949000</f>
        <v>1949000</v>
      </c>
      <c r="O455" s="158">
        <v>3000000</v>
      </c>
      <c r="P455" s="159">
        <f>O455-2184000</f>
        <v>816000</v>
      </c>
      <c r="Q455" s="165">
        <f t="shared" ref="Q455:R468" si="359">O455-M455</f>
        <v>2000000</v>
      </c>
      <c r="R455" s="166">
        <f t="shared" si="359"/>
        <v>-1133000</v>
      </c>
      <c r="S455" s="156"/>
      <c r="T455" s="160"/>
      <c r="U455" s="157"/>
      <c r="V455" s="161">
        <v>3000000</v>
      </c>
      <c r="W455" s="158">
        <v>1500000</v>
      </c>
      <c r="X455" s="160">
        <f>W455*0.7</f>
        <v>1050000</v>
      </c>
      <c r="Y455" s="160">
        <f>W455-X455</f>
        <v>450000</v>
      </c>
      <c r="Z455" s="160"/>
      <c r="AA455" s="160"/>
      <c r="AB455" s="159"/>
      <c r="AC455" s="158">
        <f t="shared" si="351"/>
        <v>1500000</v>
      </c>
      <c r="AD455" s="160">
        <f>AC455*0.7</f>
        <v>1050000</v>
      </c>
      <c r="AE455" s="160">
        <f>AC455-AD455</f>
        <v>450000</v>
      </c>
      <c r="AF455" s="157"/>
      <c r="AG455" s="157"/>
      <c r="AH455" s="159"/>
      <c r="AI455" s="35">
        <f t="shared" si="352"/>
        <v>2100000</v>
      </c>
      <c r="AJ455" s="11">
        <f t="shared" si="353"/>
        <v>900000</v>
      </c>
      <c r="AK455" s="11">
        <f t="shared" si="354"/>
        <v>0</v>
      </c>
      <c r="AL455" s="11">
        <f t="shared" si="355"/>
        <v>0</v>
      </c>
      <c r="AM455" s="76">
        <f t="shared" si="356"/>
        <v>0</v>
      </c>
      <c r="AN455" s="51">
        <f t="shared" si="357"/>
        <v>900000</v>
      </c>
      <c r="AO455" s="36"/>
      <c r="AP455" s="9"/>
      <c r="AQ455" s="9"/>
      <c r="AR455" s="9"/>
      <c r="AS455" s="9"/>
      <c r="AT455" s="9"/>
      <c r="AU455" s="9"/>
      <c r="AV455" s="9">
        <f t="shared" si="358"/>
        <v>0</v>
      </c>
      <c r="AW455" s="10">
        <f t="shared" si="327"/>
        <v>0</v>
      </c>
      <c r="AY455" s="11">
        <f t="shared" si="349"/>
        <v>0</v>
      </c>
    </row>
    <row r="456" spans="5:51" ht="60" customHeight="1" x14ac:dyDescent="0.2">
      <c r="E456" s="151">
        <f t="shared" si="350"/>
        <v>80103</v>
      </c>
      <c r="F456" s="162" t="s">
        <v>236</v>
      </c>
      <c r="G456" s="156">
        <v>3000000</v>
      </c>
      <c r="H456" s="157">
        <v>6093000</v>
      </c>
      <c r="I456" s="158">
        <v>4000000</v>
      </c>
      <c r="J456" s="159">
        <v>2190000</v>
      </c>
      <c r="K456" s="158">
        <v>3500000</v>
      </c>
      <c r="L456" s="159">
        <f>119000+156000+293000+188000+297000+148000+198000+92000</f>
        <v>1491000</v>
      </c>
      <c r="M456" s="158">
        <v>1000000</v>
      </c>
      <c r="N456" s="159">
        <f>M456+91000</f>
        <v>1091000</v>
      </c>
      <c r="O456" s="158">
        <v>500000</v>
      </c>
      <c r="P456" s="159">
        <v>746000</v>
      </c>
      <c r="Q456" s="165">
        <f t="shared" si="359"/>
        <v>-500000</v>
      </c>
      <c r="R456" s="166">
        <f t="shared" si="359"/>
        <v>-345000</v>
      </c>
      <c r="S456" s="156"/>
      <c r="T456" s="160"/>
      <c r="U456" s="157"/>
      <c r="V456" s="161">
        <v>500000</v>
      </c>
      <c r="W456" s="158">
        <f t="shared" ref="W456:X465" si="360">V456</f>
        <v>500000</v>
      </c>
      <c r="X456" s="160">
        <f>W456*0.7</f>
        <v>350000</v>
      </c>
      <c r="Y456" s="160">
        <f t="shared" ref="Y456:Y461" si="361">W456-X456</f>
        <v>150000</v>
      </c>
      <c r="Z456" s="160"/>
      <c r="AA456" s="160"/>
      <c r="AB456" s="159"/>
      <c r="AC456" s="158">
        <f t="shared" si="351"/>
        <v>0</v>
      </c>
      <c r="AD456" s="160"/>
      <c r="AE456" s="160"/>
      <c r="AF456" s="157"/>
      <c r="AG456" s="157"/>
      <c r="AH456" s="159"/>
      <c r="AI456" s="35">
        <f t="shared" si="352"/>
        <v>350000</v>
      </c>
      <c r="AJ456" s="11">
        <f t="shared" si="353"/>
        <v>150000</v>
      </c>
      <c r="AK456" s="11">
        <f t="shared" si="354"/>
        <v>0</v>
      </c>
      <c r="AL456" s="11">
        <f t="shared" si="355"/>
        <v>0</v>
      </c>
      <c r="AM456" s="76">
        <f t="shared" si="356"/>
        <v>0</v>
      </c>
      <c r="AN456" s="51">
        <f t="shared" si="357"/>
        <v>150000</v>
      </c>
      <c r="AO456" s="36"/>
      <c r="AP456" s="9"/>
      <c r="AQ456" s="9"/>
      <c r="AR456" s="9"/>
      <c r="AS456" s="9"/>
      <c r="AT456" s="9"/>
      <c r="AU456" s="9"/>
      <c r="AV456" s="9">
        <f t="shared" si="358"/>
        <v>0</v>
      </c>
      <c r="AW456" s="10">
        <f t="shared" si="327"/>
        <v>0</v>
      </c>
      <c r="AY456" s="11">
        <f t="shared" si="349"/>
        <v>0</v>
      </c>
    </row>
    <row r="457" spans="5:51" ht="60" customHeight="1" x14ac:dyDescent="0.2">
      <c r="E457" s="151">
        <f t="shared" si="350"/>
        <v>80104</v>
      </c>
      <c r="F457" s="162" t="s">
        <v>237</v>
      </c>
      <c r="G457" s="156">
        <v>3000000</v>
      </c>
      <c r="H457" s="157">
        <v>7224000</v>
      </c>
      <c r="I457" s="158">
        <v>4000000</v>
      </c>
      <c r="J457" s="159">
        <v>2334000</v>
      </c>
      <c r="K457" s="158">
        <v>3000000</v>
      </c>
      <c r="L457" s="159">
        <f>32000+59000+123000+189000+108000+146000+699000+752000</f>
        <v>2108000</v>
      </c>
      <c r="M457" s="158">
        <v>1500000</v>
      </c>
      <c r="N457" s="159">
        <f>M457+2170000</f>
        <v>3670000</v>
      </c>
      <c r="O457" s="158">
        <v>3000000</v>
      </c>
      <c r="P457" s="159">
        <f>O457-45000</f>
        <v>2955000</v>
      </c>
      <c r="Q457" s="165">
        <f t="shared" si="359"/>
        <v>1500000</v>
      </c>
      <c r="R457" s="166">
        <f t="shared" si="359"/>
        <v>-715000</v>
      </c>
      <c r="S457" s="156"/>
      <c r="T457" s="160"/>
      <c r="U457" s="157"/>
      <c r="V457" s="161">
        <v>3000000</v>
      </c>
      <c r="W457" s="158">
        <f t="shared" si="360"/>
        <v>3000000</v>
      </c>
      <c r="X457" s="160">
        <f>W457*0.85</f>
        <v>2550000</v>
      </c>
      <c r="Y457" s="160">
        <f t="shared" si="361"/>
        <v>450000</v>
      </c>
      <c r="Z457" s="160"/>
      <c r="AA457" s="160"/>
      <c r="AB457" s="159"/>
      <c r="AC457" s="158">
        <f t="shared" si="351"/>
        <v>0</v>
      </c>
      <c r="AD457" s="160"/>
      <c r="AE457" s="160"/>
      <c r="AF457" s="157"/>
      <c r="AG457" s="157"/>
      <c r="AH457" s="159"/>
      <c r="AI457" s="35">
        <f t="shared" si="352"/>
        <v>2550000</v>
      </c>
      <c r="AJ457" s="11">
        <f t="shared" si="353"/>
        <v>450000</v>
      </c>
      <c r="AK457" s="11">
        <f t="shared" si="354"/>
        <v>0</v>
      </c>
      <c r="AL457" s="11">
        <f t="shared" si="355"/>
        <v>0</v>
      </c>
      <c r="AM457" s="76">
        <f t="shared" si="356"/>
        <v>0</v>
      </c>
      <c r="AN457" s="51">
        <f t="shared" si="357"/>
        <v>450000</v>
      </c>
      <c r="AO457" s="36"/>
      <c r="AP457" s="9"/>
      <c r="AQ457" s="9"/>
      <c r="AR457" s="9"/>
      <c r="AS457" s="9"/>
      <c r="AT457" s="9"/>
      <c r="AU457" s="9"/>
      <c r="AV457" s="9">
        <f t="shared" si="358"/>
        <v>0</v>
      </c>
      <c r="AW457" s="10">
        <f t="shared" si="327"/>
        <v>0</v>
      </c>
      <c r="AY457" s="11">
        <f t="shared" si="349"/>
        <v>0</v>
      </c>
    </row>
    <row r="458" spans="5:51" ht="60" customHeight="1" x14ac:dyDescent="0.2">
      <c r="E458" s="151">
        <f t="shared" si="350"/>
        <v>80105</v>
      </c>
      <c r="F458" s="162" t="s">
        <v>238</v>
      </c>
      <c r="G458" s="156">
        <v>1500000</v>
      </c>
      <c r="H458" s="157">
        <v>195000</v>
      </c>
      <c r="I458" s="158">
        <v>1000000</v>
      </c>
      <c r="J458" s="159"/>
      <c r="K458" s="158">
        <v>1000000</v>
      </c>
      <c r="L458" s="159"/>
      <c r="M458" s="158">
        <v>500000</v>
      </c>
      <c r="N458" s="159">
        <f>M458+214000</f>
        <v>714000</v>
      </c>
      <c r="O458" s="158">
        <v>200000</v>
      </c>
      <c r="P458" s="159">
        <v>302000</v>
      </c>
      <c r="Q458" s="165">
        <f t="shared" si="359"/>
        <v>-300000</v>
      </c>
      <c r="R458" s="166">
        <f t="shared" si="359"/>
        <v>-412000</v>
      </c>
      <c r="S458" s="156"/>
      <c r="T458" s="160"/>
      <c r="U458" s="157"/>
      <c r="V458" s="161">
        <v>200000</v>
      </c>
      <c r="W458" s="158">
        <f t="shared" si="360"/>
        <v>200000</v>
      </c>
      <c r="X458" s="160">
        <f>W458*0.85</f>
        <v>170000</v>
      </c>
      <c r="Y458" s="160">
        <f t="shared" si="361"/>
        <v>30000</v>
      </c>
      <c r="Z458" s="160"/>
      <c r="AA458" s="160"/>
      <c r="AB458" s="159"/>
      <c r="AC458" s="158">
        <f t="shared" si="351"/>
        <v>0</v>
      </c>
      <c r="AD458" s="160"/>
      <c r="AE458" s="160"/>
      <c r="AF458" s="157"/>
      <c r="AG458" s="157"/>
      <c r="AH458" s="159"/>
      <c r="AI458" s="35">
        <f t="shared" si="352"/>
        <v>170000</v>
      </c>
      <c r="AJ458" s="11">
        <f t="shared" si="353"/>
        <v>30000</v>
      </c>
      <c r="AK458" s="11">
        <f t="shared" si="354"/>
        <v>0</v>
      </c>
      <c r="AL458" s="11">
        <f t="shared" si="355"/>
        <v>0</v>
      </c>
      <c r="AM458" s="76">
        <f t="shared" si="356"/>
        <v>0</v>
      </c>
      <c r="AN458" s="51">
        <f t="shared" si="357"/>
        <v>30000</v>
      </c>
      <c r="AO458" s="36"/>
      <c r="AP458" s="9"/>
      <c r="AQ458" s="9"/>
      <c r="AR458" s="9"/>
      <c r="AS458" s="9"/>
      <c r="AT458" s="9"/>
      <c r="AU458" s="9"/>
      <c r="AV458" s="9">
        <f t="shared" si="358"/>
        <v>0</v>
      </c>
      <c r="AW458" s="10">
        <f t="shared" si="327"/>
        <v>0</v>
      </c>
      <c r="AY458" s="11">
        <f t="shared" si="349"/>
        <v>0</v>
      </c>
    </row>
    <row r="459" spans="5:51" ht="60" customHeight="1" x14ac:dyDescent="0.2">
      <c r="E459" s="151">
        <f t="shared" si="350"/>
        <v>80106</v>
      </c>
      <c r="F459" s="162" t="s">
        <v>262</v>
      </c>
      <c r="G459" s="156">
        <v>12000000</v>
      </c>
      <c r="H459" s="157">
        <f>12000000-7542000</f>
        <v>4458000</v>
      </c>
      <c r="I459" s="158">
        <v>6700000</v>
      </c>
      <c r="J459" s="159">
        <v>160000</v>
      </c>
      <c r="K459" s="158">
        <v>60000000</v>
      </c>
      <c r="L459" s="159"/>
      <c r="M459" s="158">
        <v>57000000</v>
      </c>
      <c r="N459" s="159"/>
      <c r="O459" s="158">
        <v>40000000</v>
      </c>
      <c r="P459" s="159"/>
      <c r="Q459" s="165">
        <f t="shared" si="359"/>
        <v>-17000000</v>
      </c>
      <c r="R459" s="166">
        <f t="shared" si="359"/>
        <v>0</v>
      </c>
      <c r="S459" s="156"/>
      <c r="T459" s="160"/>
      <c r="U459" s="157"/>
      <c r="V459" s="161">
        <v>10000000</v>
      </c>
      <c r="W459" s="158">
        <f t="shared" si="360"/>
        <v>10000000</v>
      </c>
      <c r="X459" s="160">
        <f>W459</f>
        <v>10000000</v>
      </c>
      <c r="Y459" s="160"/>
      <c r="Z459" s="160"/>
      <c r="AA459" s="160"/>
      <c r="AB459" s="159"/>
      <c r="AC459" s="158">
        <f t="shared" si="351"/>
        <v>0</v>
      </c>
      <c r="AD459" s="160"/>
      <c r="AE459" s="160"/>
      <c r="AF459" s="157"/>
      <c r="AG459" s="157"/>
      <c r="AH459" s="159"/>
      <c r="AI459" s="35">
        <f t="shared" si="352"/>
        <v>10000000</v>
      </c>
      <c r="AJ459" s="11">
        <f t="shared" si="353"/>
        <v>0</v>
      </c>
      <c r="AK459" s="11">
        <f t="shared" si="354"/>
        <v>0</v>
      </c>
      <c r="AL459" s="11">
        <f t="shared" si="355"/>
        <v>0</v>
      </c>
      <c r="AM459" s="76">
        <f t="shared" si="356"/>
        <v>0</v>
      </c>
      <c r="AN459" s="51">
        <f t="shared" si="357"/>
        <v>0</v>
      </c>
      <c r="AO459" s="36"/>
      <c r="AP459" s="9"/>
      <c r="AQ459" s="9"/>
      <c r="AR459" s="9"/>
      <c r="AS459" s="9"/>
      <c r="AT459" s="9"/>
      <c r="AU459" s="9"/>
      <c r="AV459" s="9">
        <f t="shared" si="358"/>
        <v>0</v>
      </c>
      <c r="AW459" s="10">
        <f t="shared" si="327"/>
        <v>0</v>
      </c>
      <c r="AY459" s="11">
        <f t="shared" si="349"/>
        <v>0</v>
      </c>
    </row>
    <row r="460" spans="5:51" ht="60" customHeight="1" x14ac:dyDescent="0.2">
      <c r="E460" s="151">
        <f t="shared" si="350"/>
        <v>80107</v>
      </c>
      <c r="F460" s="162" t="s">
        <v>239</v>
      </c>
      <c r="G460" s="156">
        <v>100000000</v>
      </c>
      <c r="H460" s="157">
        <f>G460-91842000</f>
        <v>8158000</v>
      </c>
      <c r="I460" s="158">
        <v>80000000</v>
      </c>
      <c r="J460" s="159">
        <v>10791368</v>
      </c>
      <c r="K460" s="158">
        <v>75000000</v>
      </c>
      <c r="L460" s="159">
        <f>10000+13000+4000+1000+1000</f>
        <v>29000</v>
      </c>
      <c r="M460" s="158">
        <v>500000</v>
      </c>
      <c r="N460" s="159">
        <v>21000</v>
      </c>
      <c r="O460" s="158">
        <v>400000</v>
      </c>
      <c r="P460" s="159">
        <v>400000</v>
      </c>
      <c r="Q460" s="165">
        <f t="shared" si="359"/>
        <v>-100000</v>
      </c>
      <c r="R460" s="166">
        <f t="shared" si="359"/>
        <v>379000</v>
      </c>
      <c r="S460" s="156"/>
      <c r="T460" s="160"/>
      <c r="U460" s="157"/>
      <c r="V460" s="161">
        <v>3300000</v>
      </c>
      <c r="W460" s="158">
        <f t="shared" si="360"/>
        <v>3300000</v>
      </c>
      <c r="X460" s="160">
        <f>W460*0.85</f>
        <v>2805000</v>
      </c>
      <c r="Y460" s="160">
        <f t="shared" si="361"/>
        <v>495000</v>
      </c>
      <c r="Z460" s="160"/>
      <c r="AA460" s="160"/>
      <c r="AB460" s="159"/>
      <c r="AC460" s="158">
        <f t="shared" si="351"/>
        <v>0</v>
      </c>
      <c r="AD460" s="160"/>
      <c r="AE460" s="160"/>
      <c r="AF460" s="157"/>
      <c r="AG460" s="157"/>
      <c r="AH460" s="159"/>
      <c r="AI460" s="35">
        <f t="shared" si="352"/>
        <v>2805000</v>
      </c>
      <c r="AJ460" s="11">
        <f t="shared" si="353"/>
        <v>495000</v>
      </c>
      <c r="AK460" s="11">
        <f t="shared" si="354"/>
        <v>0</v>
      </c>
      <c r="AL460" s="11">
        <f t="shared" si="355"/>
        <v>0</v>
      </c>
      <c r="AM460" s="76">
        <f t="shared" si="356"/>
        <v>0</v>
      </c>
      <c r="AN460" s="51">
        <f t="shared" si="357"/>
        <v>495000</v>
      </c>
      <c r="AO460" s="36"/>
      <c r="AP460" s="9"/>
      <c r="AQ460" s="9"/>
      <c r="AR460" s="9"/>
      <c r="AS460" s="9"/>
      <c r="AT460" s="9"/>
      <c r="AU460" s="9"/>
      <c r="AV460" s="9">
        <f t="shared" si="358"/>
        <v>0</v>
      </c>
      <c r="AW460" s="10">
        <f t="shared" si="327"/>
        <v>0</v>
      </c>
      <c r="AY460" s="11">
        <f t="shared" si="349"/>
        <v>0</v>
      </c>
    </row>
    <row r="461" spans="5:51" ht="60" customHeight="1" x14ac:dyDescent="0.2">
      <c r="E461" s="151">
        <f t="shared" si="350"/>
        <v>80108</v>
      </c>
      <c r="F461" s="162" t="s">
        <v>240</v>
      </c>
      <c r="G461" s="156">
        <v>1000000</v>
      </c>
      <c r="H461" s="157">
        <f>G461-766000</f>
        <v>234000</v>
      </c>
      <c r="I461" s="158"/>
      <c r="J461" s="159">
        <v>1000</v>
      </c>
      <c r="K461" s="158">
        <v>300000</v>
      </c>
      <c r="L461" s="159">
        <f>21000+5000+27000</f>
        <v>53000</v>
      </c>
      <c r="M461" s="158">
        <v>200000</v>
      </c>
      <c r="N461" s="159">
        <f>M461+150000</f>
        <v>350000</v>
      </c>
      <c r="O461" s="158">
        <v>500000</v>
      </c>
      <c r="P461" s="159">
        <v>91000</v>
      </c>
      <c r="Q461" s="165">
        <f t="shared" si="359"/>
        <v>300000</v>
      </c>
      <c r="R461" s="166">
        <f t="shared" si="359"/>
        <v>-259000</v>
      </c>
      <c r="S461" s="156"/>
      <c r="T461" s="160"/>
      <c r="U461" s="157"/>
      <c r="V461" s="161">
        <v>700000</v>
      </c>
      <c r="W461" s="158">
        <f t="shared" si="360"/>
        <v>700000</v>
      </c>
      <c r="X461" s="160">
        <f>W461*0.7</f>
        <v>489999.99999999994</v>
      </c>
      <c r="Y461" s="160">
        <f t="shared" si="361"/>
        <v>210000.00000000006</v>
      </c>
      <c r="Z461" s="160"/>
      <c r="AA461" s="160"/>
      <c r="AB461" s="159"/>
      <c r="AC461" s="158">
        <f t="shared" si="351"/>
        <v>0</v>
      </c>
      <c r="AD461" s="160"/>
      <c r="AE461" s="160"/>
      <c r="AF461" s="157"/>
      <c r="AG461" s="157"/>
      <c r="AH461" s="159"/>
      <c r="AI461" s="35">
        <f t="shared" si="352"/>
        <v>489999.99999999994</v>
      </c>
      <c r="AJ461" s="11">
        <f t="shared" si="353"/>
        <v>210000.00000000006</v>
      </c>
      <c r="AK461" s="11">
        <f t="shared" si="354"/>
        <v>0</v>
      </c>
      <c r="AL461" s="11">
        <f t="shared" si="355"/>
        <v>0</v>
      </c>
      <c r="AM461" s="76">
        <f t="shared" si="356"/>
        <v>0</v>
      </c>
      <c r="AN461" s="51">
        <f t="shared" si="357"/>
        <v>210000.00000000006</v>
      </c>
      <c r="AO461" s="36"/>
      <c r="AP461" s="9"/>
      <c r="AQ461" s="9"/>
      <c r="AR461" s="9"/>
      <c r="AS461" s="9"/>
      <c r="AT461" s="9"/>
      <c r="AU461" s="9"/>
      <c r="AV461" s="9">
        <f t="shared" si="358"/>
        <v>0</v>
      </c>
      <c r="AW461" s="10">
        <f t="shared" si="327"/>
        <v>0</v>
      </c>
      <c r="AY461" s="11">
        <f t="shared" si="349"/>
        <v>0</v>
      </c>
    </row>
    <row r="462" spans="5:51" ht="60" customHeight="1" x14ac:dyDescent="0.2">
      <c r="E462" s="151">
        <f t="shared" si="350"/>
        <v>80109</v>
      </c>
      <c r="F462" s="162" t="s">
        <v>241</v>
      </c>
      <c r="G462" s="156">
        <v>20000000</v>
      </c>
      <c r="H462" s="157">
        <f>G462-18442000</f>
        <v>1558000</v>
      </c>
      <c r="I462" s="158">
        <v>13000000</v>
      </c>
      <c r="J462" s="159"/>
      <c r="K462" s="158">
        <v>8000000</v>
      </c>
      <c r="L462" s="159"/>
      <c r="M462" s="158">
        <v>10000000</v>
      </c>
      <c r="N462" s="159"/>
      <c r="O462" s="158">
        <v>5000000</v>
      </c>
      <c r="P462" s="159"/>
      <c r="Q462" s="165">
        <f t="shared" si="359"/>
        <v>-5000000</v>
      </c>
      <c r="R462" s="166">
        <f t="shared" si="359"/>
        <v>0</v>
      </c>
      <c r="S462" s="156"/>
      <c r="T462" s="160"/>
      <c r="U462" s="157"/>
      <c r="V462" s="161">
        <v>2700000</v>
      </c>
      <c r="W462" s="158">
        <f t="shared" si="360"/>
        <v>2700000</v>
      </c>
      <c r="X462" s="160">
        <f t="shared" si="360"/>
        <v>2700000</v>
      </c>
      <c r="Y462" s="160"/>
      <c r="Z462" s="160"/>
      <c r="AA462" s="160"/>
      <c r="AB462" s="159"/>
      <c r="AC462" s="158">
        <f t="shared" si="351"/>
        <v>0</v>
      </c>
      <c r="AD462" s="160"/>
      <c r="AE462" s="160"/>
      <c r="AF462" s="157"/>
      <c r="AG462" s="157"/>
      <c r="AH462" s="159"/>
      <c r="AI462" s="35">
        <f t="shared" si="352"/>
        <v>2700000</v>
      </c>
      <c r="AJ462" s="11">
        <f t="shared" si="353"/>
        <v>0</v>
      </c>
      <c r="AK462" s="11">
        <f t="shared" si="354"/>
        <v>0</v>
      </c>
      <c r="AL462" s="11">
        <f t="shared" si="355"/>
        <v>0</v>
      </c>
      <c r="AM462" s="76">
        <f t="shared" si="356"/>
        <v>0</v>
      </c>
      <c r="AN462" s="51">
        <f t="shared" si="357"/>
        <v>0</v>
      </c>
      <c r="AO462" s="36"/>
      <c r="AP462" s="9"/>
      <c r="AQ462" s="9"/>
      <c r="AR462" s="9"/>
      <c r="AS462" s="9"/>
      <c r="AT462" s="9"/>
      <c r="AU462" s="9"/>
      <c r="AV462" s="9">
        <f t="shared" si="358"/>
        <v>0</v>
      </c>
      <c r="AW462" s="10">
        <f t="shared" si="327"/>
        <v>0</v>
      </c>
      <c r="AY462" s="11">
        <f t="shared" si="349"/>
        <v>0</v>
      </c>
    </row>
    <row r="463" spans="5:51" ht="60" customHeight="1" x14ac:dyDescent="0.2">
      <c r="E463" s="151">
        <f t="shared" si="350"/>
        <v>80110</v>
      </c>
      <c r="F463" s="162" t="s">
        <v>242</v>
      </c>
      <c r="G463" s="156">
        <v>75000000</v>
      </c>
      <c r="H463" s="157"/>
      <c r="I463" s="158">
        <v>35300000</v>
      </c>
      <c r="J463" s="159"/>
      <c r="K463" s="158">
        <v>11000000</v>
      </c>
      <c r="L463" s="159"/>
      <c r="M463" s="158">
        <v>11400000</v>
      </c>
      <c r="N463" s="159"/>
      <c r="O463" s="158">
        <v>3000000</v>
      </c>
      <c r="P463" s="159"/>
      <c r="Q463" s="165">
        <f t="shared" si="359"/>
        <v>-8400000</v>
      </c>
      <c r="R463" s="166">
        <f t="shared" si="359"/>
        <v>0</v>
      </c>
      <c r="S463" s="156"/>
      <c r="T463" s="160"/>
      <c r="U463" s="157"/>
      <c r="V463" s="161">
        <v>6000000</v>
      </c>
      <c r="W463" s="158">
        <f t="shared" si="360"/>
        <v>6000000</v>
      </c>
      <c r="X463" s="160">
        <f t="shared" si="360"/>
        <v>6000000</v>
      </c>
      <c r="Y463" s="160"/>
      <c r="Z463" s="160"/>
      <c r="AA463" s="160"/>
      <c r="AB463" s="159"/>
      <c r="AC463" s="158">
        <f t="shared" si="351"/>
        <v>0</v>
      </c>
      <c r="AD463" s="160"/>
      <c r="AE463" s="160"/>
      <c r="AF463" s="157"/>
      <c r="AG463" s="157"/>
      <c r="AH463" s="159"/>
      <c r="AI463" s="35">
        <f t="shared" si="352"/>
        <v>6000000</v>
      </c>
      <c r="AJ463" s="11">
        <f t="shared" si="353"/>
        <v>0</v>
      </c>
      <c r="AK463" s="11">
        <f t="shared" si="354"/>
        <v>0</v>
      </c>
      <c r="AL463" s="11">
        <f t="shared" si="355"/>
        <v>0</v>
      </c>
      <c r="AM463" s="76">
        <f t="shared" si="356"/>
        <v>0</v>
      </c>
      <c r="AN463" s="51">
        <f t="shared" si="357"/>
        <v>0</v>
      </c>
      <c r="AO463" s="36"/>
      <c r="AP463" s="9"/>
      <c r="AQ463" s="9"/>
      <c r="AR463" s="9"/>
      <c r="AS463" s="9"/>
      <c r="AT463" s="9"/>
      <c r="AU463" s="9"/>
      <c r="AV463" s="9">
        <f t="shared" si="358"/>
        <v>0</v>
      </c>
      <c r="AW463" s="10">
        <f t="shared" si="327"/>
        <v>0</v>
      </c>
      <c r="AY463" s="11">
        <f t="shared" si="349"/>
        <v>0</v>
      </c>
    </row>
    <row r="464" spans="5:51" ht="60" customHeight="1" x14ac:dyDescent="0.2">
      <c r="E464" s="151">
        <f t="shared" si="350"/>
        <v>80111</v>
      </c>
      <c r="F464" s="162" t="s">
        <v>141</v>
      </c>
      <c r="G464" s="156">
        <v>15000000</v>
      </c>
      <c r="H464" s="157">
        <f>G464-13845000</f>
        <v>1155000</v>
      </c>
      <c r="I464" s="158">
        <v>20000000</v>
      </c>
      <c r="J464" s="159">
        <v>193000</v>
      </c>
      <c r="K464" s="158">
        <v>17500000</v>
      </c>
      <c r="L464" s="159"/>
      <c r="M464" s="158">
        <v>15700000</v>
      </c>
      <c r="N464" s="159"/>
      <c r="O464" s="158">
        <v>12300000</v>
      </c>
      <c r="P464" s="159"/>
      <c r="Q464" s="165">
        <f t="shared" si="359"/>
        <v>-3400000</v>
      </c>
      <c r="R464" s="166">
        <f t="shared" si="359"/>
        <v>0</v>
      </c>
      <c r="S464" s="156"/>
      <c r="T464" s="160"/>
      <c r="U464" s="157"/>
      <c r="V464" s="161">
        <v>3500000</v>
      </c>
      <c r="W464" s="158">
        <f t="shared" si="360"/>
        <v>3500000</v>
      </c>
      <c r="X464" s="160">
        <f t="shared" si="360"/>
        <v>3500000</v>
      </c>
      <c r="Y464" s="160"/>
      <c r="Z464" s="160"/>
      <c r="AA464" s="160"/>
      <c r="AB464" s="159"/>
      <c r="AC464" s="158">
        <f t="shared" si="351"/>
        <v>0</v>
      </c>
      <c r="AD464" s="160"/>
      <c r="AE464" s="160"/>
      <c r="AF464" s="157"/>
      <c r="AG464" s="157"/>
      <c r="AH464" s="159"/>
      <c r="AI464" s="35">
        <f t="shared" si="352"/>
        <v>3500000</v>
      </c>
      <c r="AJ464" s="11">
        <f t="shared" si="353"/>
        <v>0</v>
      </c>
      <c r="AK464" s="11">
        <f t="shared" si="354"/>
        <v>0</v>
      </c>
      <c r="AL464" s="11">
        <f t="shared" si="355"/>
        <v>0</v>
      </c>
      <c r="AM464" s="76">
        <f t="shared" si="356"/>
        <v>0</v>
      </c>
      <c r="AN464" s="51">
        <f t="shared" si="357"/>
        <v>0</v>
      </c>
      <c r="AO464" s="36"/>
      <c r="AP464" s="9"/>
      <c r="AQ464" s="9"/>
      <c r="AR464" s="9"/>
      <c r="AS464" s="9"/>
      <c r="AT464" s="9"/>
      <c r="AU464" s="9"/>
      <c r="AV464" s="9">
        <f t="shared" si="358"/>
        <v>0</v>
      </c>
      <c r="AW464" s="10">
        <f t="shared" si="327"/>
        <v>0</v>
      </c>
      <c r="AY464" s="11">
        <f t="shared" si="349"/>
        <v>0</v>
      </c>
    </row>
    <row r="465" spans="5:51" ht="60" customHeight="1" x14ac:dyDescent="0.2">
      <c r="E465" s="151">
        <f t="shared" si="350"/>
        <v>80112</v>
      </c>
      <c r="F465" s="162" t="s">
        <v>261</v>
      </c>
      <c r="G465" s="156">
        <v>5000000</v>
      </c>
      <c r="H465" s="157"/>
      <c r="I465" s="158">
        <v>50000000</v>
      </c>
      <c r="J465" s="159"/>
      <c r="K465" s="158">
        <v>30000000</v>
      </c>
      <c r="L465" s="159"/>
      <c r="M465" s="158">
        <v>241000000</v>
      </c>
      <c r="N465" s="159"/>
      <c r="O465" s="158">
        <v>200000000</v>
      </c>
      <c r="P465" s="159"/>
      <c r="Q465" s="165">
        <f t="shared" si="359"/>
        <v>-41000000</v>
      </c>
      <c r="R465" s="166">
        <f t="shared" si="359"/>
        <v>0</v>
      </c>
      <c r="S465" s="156"/>
      <c r="T465" s="160"/>
      <c r="U465" s="157"/>
      <c r="V465" s="161">
        <v>240000000</v>
      </c>
      <c r="W465" s="158">
        <f t="shared" si="360"/>
        <v>240000000</v>
      </c>
      <c r="X465" s="160">
        <f t="shared" si="360"/>
        <v>240000000</v>
      </c>
      <c r="Y465" s="160"/>
      <c r="Z465" s="160"/>
      <c r="AA465" s="160"/>
      <c r="AB465" s="159"/>
      <c r="AC465" s="158">
        <f t="shared" si="351"/>
        <v>0</v>
      </c>
      <c r="AD465" s="160"/>
      <c r="AE465" s="160"/>
      <c r="AF465" s="157"/>
      <c r="AG465" s="157"/>
      <c r="AH465" s="159"/>
      <c r="AI465" s="35">
        <f t="shared" si="352"/>
        <v>240000000</v>
      </c>
      <c r="AJ465" s="11">
        <f t="shared" si="353"/>
        <v>0</v>
      </c>
      <c r="AK465" s="11">
        <f t="shared" si="354"/>
        <v>0</v>
      </c>
      <c r="AL465" s="11">
        <f t="shared" si="355"/>
        <v>0</v>
      </c>
      <c r="AM465" s="76">
        <f t="shared" si="356"/>
        <v>0</v>
      </c>
      <c r="AN465" s="51">
        <f t="shared" si="357"/>
        <v>0</v>
      </c>
      <c r="AO465" s="36"/>
      <c r="AP465" s="9"/>
      <c r="AQ465" s="9"/>
      <c r="AR465" s="9"/>
      <c r="AS465" s="9"/>
      <c r="AT465" s="9"/>
      <c r="AU465" s="9"/>
      <c r="AV465" s="9">
        <f t="shared" si="358"/>
        <v>0</v>
      </c>
      <c r="AW465" s="10">
        <f t="shared" si="327"/>
        <v>0</v>
      </c>
      <c r="AY465" s="11">
        <f t="shared" si="349"/>
        <v>0</v>
      </c>
    </row>
    <row r="466" spans="5:51" ht="60" customHeight="1" x14ac:dyDescent="0.2">
      <c r="E466" s="151">
        <f t="shared" si="350"/>
        <v>80113</v>
      </c>
      <c r="F466" s="162" t="s">
        <v>260</v>
      </c>
      <c r="G466" s="156"/>
      <c r="H466" s="157"/>
      <c r="I466" s="158">
        <v>5000000</v>
      </c>
      <c r="J466" s="159">
        <v>4208000</v>
      </c>
      <c r="K466" s="158">
        <v>6000000</v>
      </c>
      <c r="L466" s="159">
        <f>284000+704000+533000+204000+189000+160000+551000+529000</f>
        <v>3154000</v>
      </c>
      <c r="M466" s="158">
        <v>10000000</v>
      </c>
      <c r="N466" s="159">
        <f>M466-7469000</f>
        <v>2531000</v>
      </c>
      <c r="O466" s="158">
        <v>3000000</v>
      </c>
      <c r="P466" s="159">
        <f>O466-1978000</f>
        <v>1022000</v>
      </c>
      <c r="Q466" s="165">
        <f t="shared" si="359"/>
        <v>-7000000</v>
      </c>
      <c r="R466" s="166">
        <f t="shared" si="359"/>
        <v>-1509000</v>
      </c>
      <c r="S466" s="156"/>
      <c r="T466" s="160"/>
      <c r="U466" s="157"/>
      <c r="V466" s="161">
        <f>3000000+3000000+3000000+2000000</f>
        <v>11000000</v>
      </c>
      <c r="W466" s="158">
        <f>V466*0.7</f>
        <v>7699999.9999999991</v>
      </c>
      <c r="X466" s="160">
        <f>W466*0.85</f>
        <v>6544999.9999999991</v>
      </c>
      <c r="Y466" s="160">
        <f>W466-X466</f>
        <v>1155000</v>
      </c>
      <c r="Z466" s="160"/>
      <c r="AA466" s="160"/>
      <c r="AB466" s="159"/>
      <c r="AC466" s="158">
        <f t="shared" si="351"/>
        <v>3300000.0000000009</v>
      </c>
      <c r="AD466" s="160">
        <f>AC466*0.85</f>
        <v>2805000.0000000009</v>
      </c>
      <c r="AE466" s="160">
        <f>AC466-AD466</f>
        <v>495000</v>
      </c>
      <c r="AF466" s="157"/>
      <c r="AG466" s="157"/>
      <c r="AH466" s="159"/>
      <c r="AI466" s="35">
        <f t="shared" si="352"/>
        <v>9350000</v>
      </c>
      <c r="AJ466" s="11">
        <f t="shared" si="353"/>
        <v>1650000</v>
      </c>
      <c r="AK466" s="11">
        <f t="shared" si="354"/>
        <v>0</v>
      </c>
      <c r="AL466" s="11">
        <f t="shared" si="355"/>
        <v>0</v>
      </c>
      <c r="AM466" s="76">
        <f t="shared" si="356"/>
        <v>0</v>
      </c>
      <c r="AN466" s="51">
        <f t="shared" si="357"/>
        <v>1650000</v>
      </c>
      <c r="AO466" s="36"/>
      <c r="AP466" s="9"/>
      <c r="AQ466" s="9"/>
      <c r="AR466" s="9"/>
      <c r="AS466" s="9"/>
      <c r="AT466" s="9"/>
      <c r="AU466" s="9"/>
      <c r="AV466" s="9">
        <f t="shared" si="358"/>
        <v>0</v>
      </c>
      <c r="AW466" s="10">
        <f>AP466-AQ466-AV466</f>
        <v>0</v>
      </c>
      <c r="AY466" s="11">
        <f t="shared" si="349"/>
        <v>0</v>
      </c>
    </row>
    <row r="467" spans="5:51" ht="60" customHeight="1" x14ac:dyDescent="0.2">
      <c r="E467" s="151">
        <f t="shared" si="350"/>
        <v>80114</v>
      </c>
      <c r="F467" s="162" t="s">
        <v>289</v>
      </c>
      <c r="G467" s="156"/>
      <c r="H467" s="157"/>
      <c r="I467" s="158">
        <v>3000000</v>
      </c>
      <c r="J467" s="159">
        <v>1554000</v>
      </c>
      <c r="K467" s="158">
        <v>8000000</v>
      </c>
      <c r="L467" s="159">
        <f>15000+42000+285000+16000+34000</f>
        <v>392000</v>
      </c>
      <c r="M467" s="158">
        <v>3000000</v>
      </c>
      <c r="N467" s="159">
        <f>M467-396000</f>
        <v>2604000</v>
      </c>
      <c r="O467" s="158">
        <v>6000000</v>
      </c>
      <c r="P467" s="159">
        <f>O467-2492000</f>
        <v>3508000</v>
      </c>
      <c r="Q467" s="165">
        <f t="shared" si="359"/>
        <v>3000000</v>
      </c>
      <c r="R467" s="166">
        <f t="shared" si="359"/>
        <v>904000</v>
      </c>
      <c r="S467" s="156"/>
      <c r="T467" s="160"/>
      <c r="U467" s="157"/>
      <c r="V467" s="161">
        <v>6000000</v>
      </c>
      <c r="W467" s="158">
        <f>V467</f>
        <v>6000000</v>
      </c>
      <c r="X467" s="160">
        <f>W467*0.85</f>
        <v>5100000</v>
      </c>
      <c r="Y467" s="160">
        <f>W467-X467</f>
        <v>900000</v>
      </c>
      <c r="Z467" s="160"/>
      <c r="AA467" s="160"/>
      <c r="AB467" s="159"/>
      <c r="AC467" s="158">
        <f t="shared" si="351"/>
        <v>0</v>
      </c>
      <c r="AD467" s="160"/>
      <c r="AE467" s="160"/>
      <c r="AF467" s="157"/>
      <c r="AG467" s="157"/>
      <c r="AH467" s="159"/>
      <c r="AI467" s="35">
        <f t="shared" si="352"/>
        <v>5100000</v>
      </c>
      <c r="AJ467" s="11">
        <f t="shared" si="353"/>
        <v>900000</v>
      </c>
      <c r="AK467" s="11">
        <f t="shared" si="354"/>
        <v>0</v>
      </c>
      <c r="AL467" s="11">
        <f t="shared" si="355"/>
        <v>0</v>
      </c>
      <c r="AM467" s="76">
        <f t="shared" si="356"/>
        <v>0</v>
      </c>
      <c r="AN467" s="51">
        <f t="shared" si="357"/>
        <v>900000</v>
      </c>
      <c r="AO467" s="36"/>
      <c r="AP467" s="9"/>
      <c r="AQ467" s="9"/>
      <c r="AR467" s="9"/>
      <c r="AS467" s="9"/>
      <c r="AT467" s="9"/>
      <c r="AU467" s="9"/>
      <c r="AV467" s="9">
        <f t="shared" si="358"/>
        <v>0</v>
      </c>
      <c r="AW467" s="10">
        <f>AP467-AQ467-AV467</f>
        <v>0</v>
      </c>
      <c r="AY467" s="11">
        <f t="shared" si="349"/>
        <v>0</v>
      </c>
    </row>
    <row r="468" spans="5:51" ht="60" customHeight="1" x14ac:dyDescent="0.2">
      <c r="E468" s="151">
        <f t="shared" si="350"/>
        <v>80115</v>
      </c>
      <c r="F468" s="162" t="s">
        <v>379</v>
      </c>
      <c r="G468" s="156"/>
      <c r="H468" s="157"/>
      <c r="I468" s="158"/>
      <c r="J468" s="159"/>
      <c r="K468" s="158"/>
      <c r="L468" s="159"/>
      <c r="M468" s="158"/>
      <c r="N468" s="159"/>
      <c r="O468" s="158">
        <v>1000000</v>
      </c>
      <c r="P468" s="159"/>
      <c r="Q468" s="165">
        <f t="shared" si="359"/>
        <v>1000000</v>
      </c>
      <c r="R468" s="166">
        <f t="shared" si="359"/>
        <v>0</v>
      </c>
      <c r="S468" s="156"/>
      <c r="T468" s="160"/>
      <c r="U468" s="157"/>
      <c r="V468" s="161">
        <v>3000000</v>
      </c>
      <c r="W468" s="158">
        <f>V468</f>
        <v>3000000</v>
      </c>
      <c r="X468" s="160">
        <f>W468</f>
        <v>3000000</v>
      </c>
      <c r="Y468" s="160"/>
      <c r="Z468" s="160"/>
      <c r="AA468" s="160"/>
      <c r="AB468" s="159"/>
      <c r="AC468" s="158">
        <f t="shared" si="351"/>
        <v>0</v>
      </c>
      <c r="AD468" s="160"/>
      <c r="AE468" s="160"/>
      <c r="AF468" s="157"/>
      <c r="AG468" s="157"/>
      <c r="AH468" s="159"/>
      <c r="AI468" s="35">
        <f t="shared" si="352"/>
        <v>3000000</v>
      </c>
      <c r="AJ468" s="11">
        <f t="shared" si="353"/>
        <v>0</v>
      </c>
      <c r="AK468" s="11">
        <f t="shared" si="354"/>
        <v>0</v>
      </c>
      <c r="AL468" s="11">
        <f t="shared" si="355"/>
        <v>0</v>
      </c>
      <c r="AM468" s="76">
        <f t="shared" si="356"/>
        <v>0</v>
      </c>
      <c r="AN468" s="51">
        <f t="shared" si="357"/>
        <v>0</v>
      </c>
      <c r="AO468" s="36"/>
      <c r="AP468" s="9"/>
      <c r="AQ468" s="9"/>
      <c r="AR468" s="9"/>
      <c r="AS468" s="9"/>
      <c r="AT468" s="9"/>
      <c r="AU468" s="9"/>
      <c r="AV468" s="9"/>
      <c r="AW468" s="10"/>
      <c r="AY468" s="11">
        <f t="shared" si="349"/>
        <v>0</v>
      </c>
    </row>
    <row r="469" spans="5:51" ht="60" customHeight="1" x14ac:dyDescent="0.2">
      <c r="E469" s="149"/>
      <c r="F469" s="127" t="s">
        <v>553</v>
      </c>
      <c r="G469" s="118">
        <f t="shared" ref="G469:AV469" si="362">SUM(G454:G468)</f>
        <v>253000000</v>
      </c>
      <c r="H469" s="116">
        <f t="shared" si="362"/>
        <v>31015000</v>
      </c>
      <c r="I469" s="115">
        <f t="shared" si="362"/>
        <v>224000000</v>
      </c>
      <c r="J469" s="117">
        <f t="shared" si="362"/>
        <v>24889368</v>
      </c>
      <c r="K469" s="115">
        <f t="shared" si="362"/>
        <v>255300000</v>
      </c>
      <c r="L469" s="117">
        <f t="shared" si="362"/>
        <v>14880000</v>
      </c>
      <c r="M469" s="115">
        <f t="shared" si="362"/>
        <v>387800000</v>
      </c>
      <c r="N469" s="117">
        <f t="shared" si="362"/>
        <v>52766000</v>
      </c>
      <c r="O469" s="115">
        <f t="shared" si="362"/>
        <v>337900000</v>
      </c>
      <c r="P469" s="117">
        <f t="shared" si="362"/>
        <v>36656000</v>
      </c>
      <c r="Q469" s="115">
        <f t="shared" si="362"/>
        <v>-49900000</v>
      </c>
      <c r="R469" s="117">
        <f t="shared" si="362"/>
        <v>-16110000</v>
      </c>
      <c r="S469" s="118">
        <f t="shared" si="362"/>
        <v>0</v>
      </c>
      <c r="T469" s="120">
        <f t="shared" si="362"/>
        <v>0</v>
      </c>
      <c r="U469" s="116">
        <f t="shared" si="362"/>
        <v>0</v>
      </c>
      <c r="V469" s="119">
        <f t="shared" si="362"/>
        <v>392900000</v>
      </c>
      <c r="W469" s="115">
        <f t="shared" si="362"/>
        <v>338100000</v>
      </c>
      <c r="X469" s="120">
        <f t="shared" si="362"/>
        <v>326760000</v>
      </c>
      <c r="Y469" s="120">
        <f t="shared" si="362"/>
        <v>11340000</v>
      </c>
      <c r="Z469" s="120">
        <f t="shared" si="362"/>
        <v>0</v>
      </c>
      <c r="AA469" s="120">
        <f t="shared" si="362"/>
        <v>0</v>
      </c>
      <c r="AB469" s="117">
        <f t="shared" si="362"/>
        <v>0</v>
      </c>
      <c r="AC469" s="115">
        <f t="shared" si="362"/>
        <v>54800000</v>
      </c>
      <c r="AD469" s="120">
        <f t="shared" si="362"/>
        <v>46355000</v>
      </c>
      <c r="AE469" s="120">
        <f t="shared" si="362"/>
        <v>8445000</v>
      </c>
      <c r="AF469" s="116">
        <f t="shared" si="362"/>
        <v>0</v>
      </c>
      <c r="AG469" s="116">
        <f t="shared" si="362"/>
        <v>0</v>
      </c>
      <c r="AH469" s="117">
        <f t="shared" si="362"/>
        <v>0</v>
      </c>
      <c r="AI469" s="47">
        <f t="shared" si="362"/>
        <v>373115000</v>
      </c>
      <c r="AJ469" s="10">
        <f t="shared" si="362"/>
        <v>19785000</v>
      </c>
      <c r="AK469" s="10">
        <f t="shared" si="362"/>
        <v>0</v>
      </c>
      <c r="AL469" s="10">
        <f t="shared" si="362"/>
        <v>0</v>
      </c>
      <c r="AM469" s="48">
        <f t="shared" si="362"/>
        <v>0</v>
      </c>
      <c r="AN469" s="52">
        <f t="shared" si="362"/>
        <v>19785000</v>
      </c>
      <c r="AO469" s="39">
        <f t="shared" si="362"/>
        <v>0</v>
      </c>
      <c r="AP469" s="10">
        <f t="shared" si="362"/>
        <v>0</v>
      </c>
      <c r="AQ469" s="10">
        <f t="shared" si="362"/>
        <v>0</v>
      </c>
      <c r="AR469" s="10">
        <f t="shared" si="362"/>
        <v>0</v>
      </c>
      <c r="AS469" s="10">
        <f t="shared" si="362"/>
        <v>0</v>
      </c>
      <c r="AT469" s="10">
        <f t="shared" si="362"/>
        <v>0</v>
      </c>
      <c r="AU469" s="10">
        <f t="shared" si="362"/>
        <v>0</v>
      </c>
      <c r="AV469" s="10">
        <f t="shared" si="362"/>
        <v>0</v>
      </c>
      <c r="AW469" s="10">
        <f>AP469-AQ469-AV469</f>
        <v>0</v>
      </c>
      <c r="AY469" s="11">
        <f t="shared" si="349"/>
        <v>0</v>
      </c>
    </row>
    <row r="470" spans="5:51" ht="60" customHeight="1" x14ac:dyDescent="0.2">
      <c r="E470" s="151">
        <v>80200</v>
      </c>
      <c r="F470" s="155" t="s">
        <v>243</v>
      </c>
      <c r="G470" s="156"/>
      <c r="H470" s="157"/>
      <c r="I470" s="158"/>
      <c r="J470" s="159"/>
      <c r="K470" s="158"/>
      <c r="L470" s="159"/>
      <c r="M470" s="158"/>
      <c r="N470" s="159"/>
      <c r="O470" s="158"/>
      <c r="P470" s="159"/>
      <c r="Q470" s="158"/>
      <c r="R470" s="159"/>
      <c r="S470" s="156"/>
      <c r="T470" s="160"/>
      <c r="U470" s="157"/>
      <c r="V470" s="161"/>
      <c r="W470" s="158"/>
      <c r="X470" s="160"/>
      <c r="Y470" s="160"/>
      <c r="Z470" s="160"/>
      <c r="AA470" s="160"/>
      <c r="AB470" s="159"/>
      <c r="AC470" s="158"/>
      <c r="AD470" s="160"/>
      <c r="AE470" s="160"/>
      <c r="AF470" s="157"/>
      <c r="AG470" s="157"/>
      <c r="AH470" s="159"/>
      <c r="AI470" s="45"/>
      <c r="AJ470" s="9"/>
      <c r="AK470" s="9"/>
      <c r="AL470" s="9"/>
      <c r="AM470" s="46"/>
      <c r="AN470" s="50"/>
      <c r="AO470" s="36"/>
      <c r="AP470" s="9"/>
      <c r="AQ470" s="9"/>
      <c r="AR470" s="9"/>
      <c r="AS470" s="9"/>
      <c r="AT470" s="9"/>
      <c r="AU470" s="9"/>
      <c r="AV470" s="9"/>
      <c r="AW470" s="10">
        <f>AP470-AQ470-AV470</f>
        <v>0</v>
      </c>
      <c r="AY470" s="11">
        <f t="shared" si="349"/>
        <v>0</v>
      </c>
    </row>
    <row r="471" spans="5:51" ht="60" customHeight="1" x14ac:dyDescent="0.2">
      <c r="E471" s="151">
        <f>E470+1</f>
        <v>80201</v>
      </c>
      <c r="F471" s="170" t="s">
        <v>479</v>
      </c>
      <c r="G471" s="156"/>
      <c r="H471" s="157"/>
      <c r="I471" s="158"/>
      <c r="J471" s="159"/>
      <c r="K471" s="158">
        <v>4500000</v>
      </c>
      <c r="L471" s="159"/>
      <c r="M471" s="158">
        <v>4500000</v>
      </c>
      <c r="N471" s="159"/>
      <c r="O471" s="158">
        <v>4500000</v>
      </c>
      <c r="P471" s="159">
        <v>450000</v>
      </c>
      <c r="Q471" s="165">
        <f t="shared" ref="Q471:R473" si="363">O471-M471</f>
        <v>0</v>
      </c>
      <c r="R471" s="166">
        <f t="shared" si="363"/>
        <v>450000</v>
      </c>
      <c r="S471" s="156">
        <v>500000</v>
      </c>
      <c r="T471" s="160">
        <f>+S471</f>
        <v>500000</v>
      </c>
      <c r="U471" s="164"/>
      <c r="V471" s="161">
        <v>4500000</v>
      </c>
      <c r="W471" s="158">
        <v>4500000</v>
      </c>
      <c r="X471" s="160">
        <f>W471</f>
        <v>4500000</v>
      </c>
      <c r="Y471" s="160"/>
      <c r="Z471" s="160"/>
      <c r="AA471" s="160"/>
      <c r="AB471" s="159"/>
      <c r="AC471" s="158">
        <f>V471-W471</f>
        <v>0</v>
      </c>
      <c r="AD471" s="160"/>
      <c r="AE471" s="160"/>
      <c r="AF471" s="157"/>
      <c r="AG471" s="157"/>
      <c r="AH471" s="159"/>
      <c r="AI471" s="35">
        <f t="shared" ref="AI471:AM474" si="364">AD471+X471</f>
        <v>4500000</v>
      </c>
      <c r="AJ471" s="11">
        <f t="shared" si="364"/>
        <v>0</v>
      </c>
      <c r="AK471" s="11">
        <f t="shared" si="364"/>
        <v>0</v>
      </c>
      <c r="AL471" s="11">
        <f t="shared" si="364"/>
        <v>0</v>
      </c>
      <c r="AM471" s="76">
        <f t="shared" si="364"/>
        <v>0</v>
      </c>
      <c r="AN471" s="51">
        <f>SUM(AJ471:AM471)</f>
        <v>0</v>
      </c>
      <c r="AO471" s="36"/>
      <c r="AP471" s="9"/>
      <c r="AQ471" s="9"/>
      <c r="AR471" s="9"/>
      <c r="AS471" s="9"/>
      <c r="AT471" s="9"/>
      <c r="AU471" s="9"/>
      <c r="AV471" s="9"/>
      <c r="AW471" s="10"/>
      <c r="AY471" s="11">
        <f t="shared" si="349"/>
        <v>0</v>
      </c>
    </row>
    <row r="472" spans="5:51" ht="60" customHeight="1" x14ac:dyDescent="0.2">
      <c r="E472" s="151">
        <f>E471+1</f>
        <v>80202</v>
      </c>
      <c r="F472" s="170" t="s">
        <v>313</v>
      </c>
      <c r="G472" s="156"/>
      <c r="H472" s="157"/>
      <c r="I472" s="158"/>
      <c r="J472" s="159"/>
      <c r="K472" s="158">
        <v>9000000</v>
      </c>
      <c r="L472" s="159">
        <v>450000</v>
      </c>
      <c r="M472" s="158">
        <v>9000000</v>
      </c>
      <c r="N472" s="159"/>
      <c r="O472" s="158">
        <v>16000000</v>
      </c>
      <c r="P472" s="159"/>
      <c r="Q472" s="165">
        <f t="shared" si="363"/>
        <v>7000000</v>
      </c>
      <c r="R472" s="166">
        <f t="shared" si="363"/>
        <v>0</v>
      </c>
      <c r="S472" s="156">
        <v>100000</v>
      </c>
      <c r="T472" s="160">
        <f>+S472</f>
        <v>100000</v>
      </c>
      <c r="U472" s="164"/>
      <c r="V472" s="161">
        <v>16000000</v>
      </c>
      <c r="W472" s="158">
        <v>16000000</v>
      </c>
      <c r="X472" s="160">
        <f>W472</f>
        <v>16000000</v>
      </c>
      <c r="Y472" s="160"/>
      <c r="Z472" s="160"/>
      <c r="AA472" s="160"/>
      <c r="AB472" s="159"/>
      <c r="AC472" s="158">
        <f>V472-W472</f>
        <v>0</v>
      </c>
      <c r="AD472" s="160"/>
      <c r="AE472" s="160"/>
      <c r="AF472" s="157"/>
      <c r="AG472" s="157"/>
      <c r="AH472" s="159"/>
      <c r="AI472" s="35">
        <f t="shared" si="364"/>
        <v>16000000</v>
      </c>
      <c r="AJ472" s="11">
        <f t="shared" si="364"/>
        <v>0</v>
      </c>
      <c r="AK472" s="11">
        <f t="shared" si="364"/>
        <v>0</v>
      </c>
      <c r="AL472" s="11">
        <f t="shared" si="364"/>
        <v>0</v>
      </c>
      <c r="AM472" s="76">
        <f t="shared" si="364"/>
        <v>0</v>
      </c>
      <c r="AN472" s="51">
        <f>SUM(AJ472:AM472)</f>
        <v>0</v>
      </c>
      <c r="AO472" s="36"/>
      <c r="AP472" s="9"/>
      <c r="AQ472" s="9"/>
      <c r="AR472" s="9"/>
      <c r="AS472" s="9"/>
      <c r="AT472" s="9"/>
      <c r="AU472" s="9"/>
      <c r="AV472" s="9"/>
      <c r="AW472" s="10"/>
      <c r="AY472" s="11">
        <f t="shared" si="349"/>
        <v>0</v>
      </c>
    </row>
    <row r="473" spans="5:51" ht="60" customHeight="1" x14ac:dyDescent="0.2">
      <c r="E473" s="151">
        <f>E472+1</f>
        <v>80203</v>
      </c>
      <c r="F473" s="170" t="s">
        <v>363</v>
      </c>
      <c r="G473" s="156"/>
      <c r="H473" s="157"/>
      <c r="I473" s="158"/>
      <c r="J473" s="159"/>
      <c r="K473" s="158"/>
      <c r="L473" s="159"/>
      <c r="M473" s="158">
        <v>5000000</v>
      </c>
      <c r="N473" s="159"/>
      <c r="O473" s="158">
        <v>5000000</v>
      </c>
      <c r="P473" s="159"/>
      <c r="Q473" s="165">
        <f t="shared" si="363"/>
        <v>0</v>
      </c>
      <c r="R473" s="166">
        <f t="shared" si="363"/>
        <v>0</v>
      </c>
      <c r="S473" s="156"/>
      <c r="T473" s="160"/>
      <c r="U473" s="164"/>
      <c r="V473" s="161">
        <v>5000000</v>
      </c>
      <c r="W473" s="158">
        <v>5000000</v>
      </c>
      <c r="X473" s="160">
        <f>W473</f>
        <v>5000000</v>
      </c>
      <c r="Y473" s="160"/>
      <c r="Z473" s="160"/>
      <c r="AA473" s="160"/>
      <c r="AB473" s="159"/>
      <c r="AC473" s="158">
        <f>V473-W473</f>
        <v>0</v>
      </c>
      <c r="AD473" s="160"/>
      <c r="AE473" s="160"/>
      <c r="AF473" s="157"/>
      <c r="AG473" s="157"/>
      <c r="AH473" s="159"/>
      <c r="AI473" s="35">
        <f t="shared" si="364"/>
        <v>5000000</v>
      </c>
      <c r="AJ473" s="11">
        <f t="shared" si="364"/>
        <v>0</v>
      </c>
      <c r="AK473" s="11">
        <f t="shared" si="364"/>
        <v>0</v>
      </c>
      <c r="AL473" s="11">
        <f t="shared" si="364"/>
        <v>0</v>
      </c>
      <c r="AM473" s="76">
        <f t="shared" si="364"/>
        <v>0</v>
      </c>
      <c r="AN473" s="51">
        <f>SUM(AJ473:AM473)</f>
        <v>0</v>
      </c>
      <c r="AO473" s="36"/>
      <c r="AP473" s="9"/>
      <c r="AQ473" s="9"/>
      <c r="AR473" s="9"/>
      <c r="AS473" s="9"/>
      <c r="AT473" s="9"/>
      <c r="AU473" s="9"/>
      <c r="AV473" s="9"/>
      <c r="AW473" s="10"/>
      <c r="AY473" s="11">
        <f t="shared" si="349"/>
        <v>0</v>
      </c>
    </row>
    <row r="474" spans="5:51" ht="60" customHeight="1" x14ac:dyDescent="0.2">
      <c r="E474" s="151">
        <f>E473+1</f>
        <v>80204</v>
      </c>
      <c r="F474" s="162" t="s">
        <v>480</v>
      </c>
      <c r="G474" s="156"/>
      <c r="H474" s="157"/>
      <c r="I474" s="158"/>
      <c r="J474" s="159"/>
      <c r="K474" s="158"/>
      <c r="L474" s="159"/>
      <c r="M474" s="158"/>
      <c r="N474" s="159"/>
      <c r="O474" s="158"/>
      <c r="P474" s="159"/>
      <c r="Q474" s="165"/>
      <c r="R474" s="166"/>
      <c r="S474" s="156"/>
      <c r="T474" s="160"/>
      <c r="U474" s="164"/>
      <c r="V474" s="161">
        <v>5000000</v>
      </c>
      <c r="W474" s="158">
        <v>0</v>
      </c>
      <c r="X474" s="160">
        <f>W474</f>
        <v>0</v>
      </c>
      <c r="Y474" s="160"/>
      <c r="Z474" s="160"/>
      <c r="AA474" s="160"/>
      <c r="AB474" s="159"/>
      <c r="AC474" s="158">
        <f>V474-W474</f>
        <v>5000000</v>
      </c>
      <c r="AD474" s="160">
        <f>AC474</f>
        <v>5000000</v>
      </c>
      <c r="AE474" s="160"/>
      <c r="AF474" s="157"/>
      <c r="AG474" s="157"/>
      <c r="AH474" s="159"/>
      <c r="AI474" s="35">
        <f t="shared" si="364"/>
        <v>5000000</v>
      </c>
      <c r="AJ474" s="11">
        <f t="shared" si="364"/>
        <v>0</v>
      </c>
      <c r="AK474" s="11">
        <f t="shared" si="364"/>
        <v>0</v>
      </c>
      <c r="AL474" s="11">
        <f t="shared" si="364"/>
        <v>0</v>
      </c>
      <c r="AM474" s="76">
        <f t="shared" si="364"/>
        <v>0</v>
      </c>
      <c r="AN474" s="51"/>
      <c r="AO474" s="36"/>
      <c r="AP474" s="9"/>
      <c r="AQ474" s="9"/>
      <c r="AR474" s="9"/>
      <c r="AS474" s="9"/>
      <c r="AT474" s="9"/>
      <c r="AU474" s="9"/>
      <c r="AV474" s="9"/>
      <c r="AW474" s="10"/>
      <c r="AY474" s="11"/>
    </row>
    <row r="475" spans="5:51" ht="60" customHeight="1" x14ac:dyDescent="0.2">
      <c r="E475" s="149"/>
      <c r="F475" s="127" t="s">
        <v>244</v>
      </c>
      <c r="G475" s="118">
        <f t="shared" ref="G475:AV475" si="365">SUM(G471:G474)</f>
        <v>0</v>
      </c>
      <c r="H475" s="116">
        <f t="shared" si="365"/>
        <v>0</v>
      </c>
      <c r="I475" s="115">
        <f t="shared" si="365"/>
        <v>0</v>
      </c>
      <c r="J475" s="117">
        <f t="shared" si="365"/>
        <v>0</v>
      </c>
      <c r="K475" s="115">
        <f t="shared" si="365"/>
        <v>13500000</v>
      </c>
      <c r="L475" s="117">
        <f t="shared" si="365"/>
        <v>450000</v>
      </c>
      <c r="M475" s="115">
        <f t="shared" si="365"/>
        <v>18500000</v>
      </c>
      <c r="N475" s="117">
        <f t="shared" si="365"/>
        <v>0</v>
      </c>
      <c r="O475" s="115">
        <f t="shared" si="365"/>
        <v>25500000</v>
      </c>
      <c r="P475" s="117">
        <f t="shared" si="365"/>
        <v>450000</v>
      </c>
      <c r="Q475" s="115">
        <f t="shared" si="365"/>
        <v>7000000</v>
      </c>
      <c r="R475" s="117">
        <f t="shared" si="365"/>
        <v>450000</v>
      </c>
      <c r="S475" s="118">
        <f t="shared" si="365"/>
        <v>600000</v>
      </c>
      <c r="T475" s="120">
        <f t="shared" si="365"/>
        <v>600000</v>
      </c>
      <c r="U475" s="116">
        <f t="shared" si="365"/>
        <v>0</v>
      </c>
      <c r="V475" s="119">
        <f t="shared" si="365"/>
        <v>30500000</v>
      </c>
      <c r="W475" s="115">
        <f t="shared" si="365"/>
        <v>25500000</v>
      </c>
      <c r="X475" s="120">
        <f t="shared" si="365"/>
        <v>25500000</v>
      </c>
      <c r="Y475" s="120">
        <f t="shared" si="365"/>
        <v>0</v>
      </c>
      <c r="Z475" s="120">
        <f t="shared" si="365"/>
        <v>0</v>
      </c>
      <c r="AA475" s="120"/>
      <c r="AB475" s="117"/>
      <c r="AC475" s="115">
        <f t="shared" si="365"/>
        <v>5000000</v>
      </c>
      <c r="AD475" s="120">
        <f t="shared" si="365"/>
        <v>5000000</v>
      </c>
      <c r="AE475" s="120">
        <f t="shared" si="365"/>
        <v>0</v>
      </c>
      <c r="AF475" s="116"/>
      <c r="AG475" s="116"/>
      <c r="AH475" s="117">
        <f t="shared" si="365"/>
        <v>0</v>
      </c>
      <c r="AI475" s="47">
        <f t="shared" si="365"/>
        <v>30500000</v>
      </c>
      <c r="AJ475" s="10">
        <f t="shared" si="365"/>
        <v>0</v>
      </c>
      <c r="AK475" s="10">
        <f t="shared" si="365"/>
        <v>0</v>
      </c>
      <c r="AL475" s="10">
        <f t="shared" si="365"/>
        <v>0</v>
      </c>
      <c r="AM475" s="48">
        <f t="shared" si="365"/>
        <v>0</v>
      </c>
      <c r="AN475" s="52">
        <f t="shared" si="365"/>
        <v>0</v>
      </c>
      <c r="AO475" s="47">
        <f t="shared" si="365"/>
        <v>0</v>
      </c>
      <c r="AP475" s="10">
        <f t="shared" si="365"/>
        <v>0</v>
      </c>
      <c r="AQ475" s="10">
        <f t="shared" si="365"/>
        <v>0</v>
      </c>
      <c r="AR475" s="48">
        <f t="shared" si="365"/>
        <v>0</v>
      </c>
      <c r="AS475" s="47">
        <f t="shared" si="365"/>
        <v>0</v>
      </c>
      <c r="AT475" s="10">
        <f t="shared" si="365"/>
        <v>0</v>
      </c>
      <c r="AU475" s="10">
        <f t="shared" si="365"/>
        <v>0</v>
      </c>
      <c r="AV475" s="10">
        <f t="shared" si="365"/>
        <v>0</v>
      </c>
      <c r="AW475" s="48">
        <f>AP475-AQ475-AV475</f>
        <v>0</v>
      </c>
      <c r="AX475" s="52"/>
      <c r="AY475" s="11">
        <f>V475-W475-AC475</f>
        <v>0</v>
      </c>
    </row>
    <row r="476" spans="5:51" ht="60" customHeight="1" x14ac:dyDescent="0.2">
      <c r="E476" s="151">
        <v>80300</v>
      </c>
      <c r="F476" s="155" t="s">
        <v>245</v>
      </c>
      <c r="G476" s="156"/>
      <c r="H476" s="157"/>
      <c r="I476" s="158"/>
      <c r="J476" s="159"/>
      <c r="K476" s="158"/>
      <c r="L476" s="159"/>
      <c r="M476" s="158"/>
      <c r="N476" s="159"/>
      <c r="O476" s="158"/>
      <c r="P476" s="159"/>
      <c r="Q476" s="158"/>
      <c r="R476" s="159"/>
      <c r="S476" s="156"/>
      <c r="T476" s="160"/>
      <c r="U476" s="157"/>
      <c r="V476" s="161"/>
      <c r="W476" s="158"/>
      <c r="X476" s="160"/>
      <c r="Y476" s="160"/>
      <c r="Z476" s="160"/>
      <c r="AA476" s="160"/>
      <c r="AB476" s="159"/>
      <c r="AC476" s="158"/>
      <c r="AD476" s="160"/>
      <c r="AE476" s="160"/>
      <c r="AF476" s="157"/>
      <c r="AG476" s="157"/>
      <c r="AH476" s="159"/>
      <c r="AI476" s="45"/>
      <c r="AJ476" s="9"/>
      <c r="AK476" s="9"/>
      <c r="AL476" s="9"/>
      <c r="AM476" s="46"/>
      <c r="AN476" s="51"/>
      <c r="AO476" s="36"/>
      <c r="AP476" s="9"/>
      <c r="AQ476" s="9"/>
      <c r="AR476" s="9"/>
      <c r="AS476" s="9"/>
      <c r="AT476" s="9"/>
      <c r="AU476" s="9"/>
      <c r="AV476" s="9"/>
      <c r="AW476" s="10">
        <f>AP476-AQ476-AV476</f>
        <v>0</v>
      </c>
      <c r="AY476" s="11">
        <f>V476-W476-AC476</f>
        <v>0</v>
      </c>
    </row>
    <row r="477" spans="5:51" ht="60" customHeight="1" x14ac:dyDescent="0.2">
      <c r="E477" s="151">
        <f>E476+1</f>
        <v>80301</v>
      </c>
      <c r="F477" s="170" t="s">
        <v>489</v>
      </c>
      <c r="G477" s="156"/>
      <c r="H477" s="157"/>
      <c r="I477" s="158"/>
      <c r="J477" s="159"/>
      <c r="K477" s="158"/>
      <c r="L477" s="159"/>
      <c r="M477" s="158"/>
      <c r="N477" s="159"/>
      <c r="O477" s="158"/>
      <c r="P477" s="159"/>
      <c r="Q477" s="165"/>
      <c r="R477" s="166"/>
      <c r="S477" s="156"/>
      <c r="T477" s="160"/>
      <c r="U477" s="164"/>
      <c r="V477" s="161">
        <v>57000000</v>
      </c>
      <c r="W477" s="158">
        <v>0</v>
      </c>
      <c r="X477" s="160"/>
      <c r="Y477" s="160"/>
      <c r="Z477" s="160">
        <f>W477-X477</f>
        <v>0</v>
      </c>
      <c r="AA477" s="160"/>
      <c r="AB477" s="159"/>
      <c r="AC477" s="158">
        <f t="shared" ref="AC477:AC495" si="366">V477-W477</f>
        <v>57000000</v>
      </c>
      <c r="AD477" s="160">
        <v>25000000</v>
      </c>
      <c r="AE477" s="160"/>
      <c r="AF477" s="157"/>
      <c r="AG477" s="157"/>
      <c r="AH477" s="159">
        <f>AC477-AD477</f>
        <v>32000000</v>
      </c>
      <c r="AI477" s="35">
        <f t="shared" ref="AI477:AI516" si="367">AD477+X477</f>
        <v>25000000</v>
      </c>
      <c r="AJ477" s="11">
        <f t="shared" ref="AJ477:AJ516" si="368">AE477+Y477</f>
        <v>0</v>
      </c>
      <c r="AK477" s="11">
        <f t="shared" ref="AK477:AK516" si="369">AF477+Z477</f>
        <v>0</v>
      </c>
      <c r="AL477" s="11">
        <f t="shared" ref="AL477:AL516" si="370">AG477+AA477</f>
        <v>0</v>
      </c>
      <c r="AM477" s="76">
        <f t="shared" ref="AM477:AM516" si="371">AH477+AB477</f>
        <v>32000000</v>
      </c>
      <c r="AN477" s="51">
        <f t="shared" ref="AN477:AN516" si="372">SUM(AJ477:AM477)</f>
        <v>32000000</v>
      </c>
      <c r="AO477" s="36"/>
      <c r="AP477" s="9"/>
      <c r="AQ477" s="9"/>
      <c r="AR477" s="9"/>
      <c r="AS477" s="9"/>
      <c r="AT477" s="9"/>
      <c r="AU477" s="9"/>
      <c r="AV477" s="9"/>
      <c r="AW477" s="10"/>
      <c r="AY477" s="11"/>
    </row>
    <row r="478" spans="5:51" ht="60" customHeight="1" x14ac:dyDescent="0.2">
      <c r="E478" s="151">
        <f t="shared" ref="E478:E516" si="373">E477+1</f>
        <v>80302</v>
      </c>
      <c r="F478" s="170" t="s">
        <v>367</v>
      </c>
      <c r="G478" s="156"/>
      <c r="H478" s="157"/>
      <c r="I478" s="158"/>
      <c r="J478" s="159"/>
      <c r="K478" s="158"/>
      <c r="L478" s="159"/>
      <c r="M478" s="158"/>
      <c r="N478" s="159"/>
      <c r="O478" s="158">
        <v>3000000</v>
      </c>
      <c r="P478" s="159"/>
      <c r="Q478" s="165">
        <f t="shared" ref="Q478:R511" si="374">O478-M478</f>
        <v>3000000</v>
      </c>
      <c r="R478" s="166">
        <f t="shared" si="374"/>
        <v>0</v>
      </c>
      <c r="S478" s="156"/>
      <c r="T478" s="160"/>
      <c r="U478" s="164"/>
      <c r="V478" s="161">
        <v>3000000</v>
      </c>
      <c r="W478" s="158">
        <v>3000000</v>
      </c>
      <c r="X478" s="160">
        <v>1500000</v>
      </c>
      <c r="Y478" s="160"/>
      <c r="Z478" s="160"/>
      <c r="AA478" s="160"/>
      <c r="AB478" s="159">
        <f>W478-X478</f>
        <v>1500000</v>
      </c>
      <c r="AC478" s="158">
        <f t="shared" si="366"/>
        <v>0</v>
      </c>
      <c r="AD478" s="160"/>
      <c r="AE478" s="160"/>
      <c r="AF478" s="157"/>
      <c r="AG478" s="157"/>
      <c r="AH478" s="159">
        <f>AC478-AD478</f>
        <v>0</v>
      </c>
      <c r="AI478" s="35">
        <f t="shared" si="367"/>
        <v>1500000</v>
      </c>
      <c r="AJ478" s="11">
        <f t="shared" si="368"/>
        <v>0</v>
      </c>
      <c r="AK478" s="11">
        <f t="shared" si="369"/>
        <v>0</v>
      </c>
      <c r="AL478" s="11">
        <f t="shared" si="370"/>
        <v>0</v>
      </c>
      <c r="AM478" s="76">
        <f t="shared" si="371"/>
        <v>1500000</v>
      </c>
      <c r="AN478" s="51">
        <f t="shared" si="372"/>
        <v>1500000</v>
      </c>
      <c r="AO478" s="36"/>
      <c r="AP478" s="9"/>
      <c r="AQ478" s="9"/>
      <c r="AR478" s="9"/>
      <c r="AS478" s="9"/>
      <c r="AT478" s="9"/>
      <c r="AU478" s="9"/>
      <c r="AV478" s="9"/>
      <c r="AW478" s="10"/>
      <c r="AY478" s="11">
        <f>V478-W478-AC478</f>
        <v>0</v>
      </c>
    </row>
    <row r="479" spans="5:51" ht="60" customHeight="1" x14ac:dyDescent="0.2">
      <c r="E479" s="151">
        <f t="shared" si="373"/>
        <v>80303</v>
      </c>
      <c r="F479" s="170" t="s">
        <v>490</v>
      </c>
      <c r="G479" s="156"/>
      <c r="H479" s="157"/>
      <c r="I479" s="158"/>
      <c r="J479" s="159"/>
      <c r="K479" s="158"/>
      <c r="L479" s="159"/>
      <c r="M479" s="158"/>
      <c r="N479" s="159"/>
      <c r="O479" s="158"/>
      <c r="P479" s="159"/>
      <c r="Q479" s="165"/>
      <c r="R479" s="166"/>
      <c r="S479" s="156"/>
      <c r="T479" s="160"/>
      <c r="U479" s="164"/>
      <c r="V479" s="161">
        <v>12000000</v>
      </c>
      <c r="W479" s="158">
        <v>12000000</v>
      </c>
      <c r="X479" s="160">
        <v>9000000</v>
      </c>
      <c r="Y479" s="160"/>
      <c r="Z479" s="160"/>
      <c r="AA479" s="160"/>
      <c r="AB479" s="159">
        <f>W479-X479</f>
        <v>3000000</v>
      </c>
      <c r="AC479" s="158">
        <f t="shared" si="366"/>
        <v>0</v>
      </c>
      <c r="AD479" s="160"/>
      <c r="AE479" s="160"/>
      <c r="AF479" s="157"/>
      <c r="AG479" s="157"/>
      <c r="AH479" s="159"/>
      <c r="AI479" s="35">
        <f t="shared" si="367"/>
        <v>9000000</v>
      </c>
      <c r="AJ479" s="11">
        <f t="shared" si="368"/>
        <v>0</v>
      </c>
      <c r="AK479" s="11">
        <f t="shared" si="369"/>
        <v>0</v>
      </c>
      <c r="AL479" s="11">
        <f t="shared" si="370"/>
        <v>0</v>
      </c>
      <c r="AM479" s="76">
        <f t="shared" si="371"/>
        <v>3000000</v>
      </c>
      <c r="AN479" s="51">
        <f>SUM(AJ479:AM479)</f>
        <v>3000000</v>
      </c>
      <c r="AO479" s="36"/>
      <c r="AP479" s="9"/>
      <c r="AQ479" s="9"/>
      <c r="AR479" s="9"/>
      <c r="AS479" s="9"/>
      <c r="AT479" s="9"/>
      <c r="AU479" s="9"/>
      <c r="AV479" s="9"/>
      <c r="AW479" s="10"/>
      <c r="AY479" s="11"/>
    </row>
    <row r="480" spans="5:51" ht="60" customHeight="1" x14ac:dyDescent="0.2">
      <c r="E480" s="151">
        <f t="shared" si="373"/>
        <v>80304</v>
      </c>
      <c r="F480" s="170" t="s">
        <v>368</v>
      </c>
      <c r="G480" s="156"/>
      <c r="H480" s="157"/>
      <c r="I480" s="158"/>
      <c r="J480" s="159"/>
      <c r="K480" s="158"/>
      <c r="L480" s="159"/>
      <c r="M480" s="158"/>
      <c r="N480" s="159"/>
      <c r="O480" s="158">
        <v>5640000</v>
      </c>
      <c r="P480" s="159">
        <v>735300</v>
      </c>
      <c r="Q480" s="165">
        <f t="shared" si="374"/>
        <v>5640000</v>
      </c>
      <c r="R480" s="166">
        <f t="shared" si="374"/>
        <v>735300</v>
      </c>
      <c r="S480" s="156">
        <v>700000</v>
      </c>
      <c r="T480" s="160">
        <f>+S480</f>
        <v>700000</v>
      </c>
      <c r="U480" s="157"/>
      <c r="V480" s="161">
        <v>11900000</v>
      </c>
      <c r="W480" s="158">
        <v>11900000</v>
      </c>
      <c r="X480" s="160">
        <f>W480</f>
        <v>11900000</v>
      </c>
      <c r="Y480" s="160"/>
      <c r="Z480" s="160">
        <f>W480-X480</f>
        <v>0</v>
      </c>
      <c r="AA480" s="160"/>
      <c r="AB480" s="159"/>
      <c r="AC480" s="158">
        <f t="shared" si="366"/>
        <v>0</v>
      </c>
      <c r="AD480" s="160"/>
      <c r="AE480" s="160"/>
      <c r="AF480" s="157"/>
      <c r="AG480" s="157"/>
      <c r="AH480" s="159"/>
      <c r="AI480" s="35">
        <f t="shared" si="367"/>
        <v>11900000</v>
      </c>
      <c r="AJ480" s="11">
        <f t="shared" si="368"/>
        <v>0</v>
      </c>
      <c r="AK480" s="11">
        <f t="shared" si="369"/>
        <v>0</v>
      </c>
      <c r="AL480" s="11">
        <f t="shared" si="370"/>
        <v>0</v>
      </c>
      <c r="AM480" s="76">
        <f t="shared" si="371"/>
        <v>0</v>
      </c>
      <c r="AN480" s="51">
        <f t="shared" si="372"/>
        <v>0</v>
      </c>
      <c r="AO480" s="36"/>
      <c r="AP480" s="9"/>
      <c r="AQ480" s="9"/>
      <c r="AR480" s="9"/>
      <c r="AS480" s="9"/>
      <c r="AT480" s="9"/>
      <c r="AU480" s="9"/>
      <c r="AV480" s="9"/>
      <c r="AW480" s="10"/>
      <c r="AY480" s="11">
        <f t="shared" ref="AY480:AY485" si="375">V480-W480-AC480</f>
        <v>0</v>
      </c>
    </row>
    <row r="481" spans="5:51" ht="60" customHeight="1" x14ac:dyDescent="0.2">
      <c r="E481" s="151">
        <f t="shared" si="373"/>
        <v>80305</v>
      </c>
      <c r="F481" s="170" t="s">
        <v>481</v>
      </c>
      <c r="G481" s="156"/>
      <c r="H481" s="157"/>
      <c r="I481" s="158"/>
      <c r="J481" s="159"/>
      <c r="K481" s="158"/>
      <c r="L481" s="159"/>
      <c r="M481" s="158"/>
      <c r="N481" s="159"/>
      <c r="O481" s="158">
        <v>13000000</v>
      </c>
      <c r="P481" s="159"/>
      <c r="Q481" s="165">
        <f t="shared" si="374"/>
        <v>13000000</v>
      </c>
      <c r="R481" s="166">
        <f t="shared" si="374"/>
        <v>0</v>
      </c>
      <c r="S481" s="156">
        <v>170000</v>
      </c>
      <c r="T481" s="160">
        <f>+S481</f>
        <v>170000</v>
      </c>
      <c r="U481" s="157"/>
      <c r="V481" s="161">
        <v>13000000</v>
      </c>
      <c r="W481" s="158">
        <v>13000000</v>
      </c>
      <c r="X481" s="160">
        <f>W481</f>
        <v>13000000</v>
      </c>
      <c r="Y481" s="160"/>
      <c r="Z481" s="160">
        <f>W481-X481</f>
        <v>0</v>
      </c>
      <c r="AA481" s="160"/>
      <c r="AB481" s="159"/>
      <c r="AC481" s="158">
        <f t="shared" si="366"/>
        <v>0</v>
      </c>
      <c r="AD481" s="160"/>
      <c r="AE481" s="160"/>
      <c r="AF481" s="157"/>
      <c r="AG481" s="157"/>
      <c r="AH481" s="159"/>
      <c r="AI481" s="35">
        <f t="shared" si="367"/>
        <v>13000000</v>
      </c>
      <c r="AJ481" s="11">
        <f t="shared" si="368"/>
        <v>0</v>
      </c>
      <c r="AK481" s="11">
        <f t="shared" si="369"/>
        <v>0</v>
      </c>
      <c r="AL481" s="11">
        <f t="shared" si="370"/>
        <v>0</v>
      </c>
      <c r="AM481" s="76">
        <f t="shared" si="371"/>
        <v>0</v>
      </c>
      <c r="AN481" s="51">
        <f t="shared" si="372"/>
        <v>0</v>
      </c>
      <c r="AO481" s="36"/>
      <c r="AP481" s="9"/>
      <c r="AQ481" s="9"/>
      <c r="AR481" s="9"/>
      <c r="AS481" s="9"/>
      <c r="AT481" s="9"/>
      <c r="AU481" s="9"/>
      <c r="AV481" s="9"/>
      <c r="AW481" s="10"/>
      <c r="AY481" s="11">
        <f t="shared" si="375"/>
        <v>0</v>
      </c>
    </row>
    <row r="482" spans="5:51" ht="60" customHeight="1" x14ac:dyDescent="0.2">
      <c r="E482" s="151">
        <f t="shared" si="373"/>
        <v>80306</v>
      </c>
      <c r="F482" s="170" t="s">
        <v>369</v>
      </c>
      <c r="G482" s="156"/>
      <c r="H482" s="157"/>
      <c r="I482" s="158"/>
      <c r="J482" s="159"/>
      <c r="K482" s="158"/>
      <c r="L482" s="159"/>
      <c r="M482" s="158"/>
      <c r="N482" s="159"/>
      <c r="O482" s="158">
        <v>3760000</v>
      </c>
      <c r="P482" s="159">
        <v>363100</v>
      </c>
      <c r="Q482" s="165">
        <f t="shared" si="374"/>
        <v>3760000</v>
      </c>
      <c r="R482" s="166">
        <f t="shared" si="374"/>
        <v>363100</v>
      </c>
      <c r="S482" s="156">
        <v>300000</v>
      </c>
      <c r="T482" s="160">
        <f>+S482</f>
        <v>300000</v>
      </c>
      <c r="U482" s="157"/>
      <c r="V482" s="161">
        <v>6188000</v>
      </c>
      <c r="W482" s="158">
        <v>6188000</v>
      </c>
      <c r="X482" s="160">
        <v>4760000</v>
      </c>
      <c r="Y482" s="160"/>
      <c r="Z482" s="160"/>
      <c r="AA482" s="160"/>
      <c r="AB482" s="159">
        <f>W482-X482</f>
        <v>1428000</v>
      </c>
      <c r="AC482" s="158">
        <f t="shared" si="366"/>
        <v>0</v>
      </c>
      <c r="AD482" s="160"/>
      <c r="AE482" s="160"/>
      <c r="AF482" s="157"/>
      <c r="AG482" s="157"/>
      <c r="AH482" s="159"/>
      <c r="AI482" s="35">
        <f t="shared" si="367"/>
        <v>4760000</v>
      </c>
      <c r="AJ482" s="11">
        <f t="shared" si="368"/>
        <v>0</v>
      </c>
      <c r="AK482" s="11">
        <f t="shared" si="369"/>
        <v>0</v>
      </c>
      <c r="AL482" s="11">
        <f t="shared" si="370"/>
        <v>0</v>
      </c>
      <c r="AM482" s="76">
        <f t="shared" si="371"/>
        <v>1428000</v>
      </c>
      <c r="AN482" s="51">
        <f t="shared" si="372"/>
        <v>1428000</v>
      </c>
      <c r="AO482" s="36"/>
      <c r="AP482" s="9"/>
      <c r="AQ482" s="9"/>
      <c r="AR482" s="9"/>
      <c r="AS482" s="9"/>
      <c r="AT482" s="9"/>
      <c r="AU482" s="9"/>
      <c r="AV482" s="9"/>
      <c r="AW482" s="10"/>
      <c r="AY482" s="11">
        <f t="shared" si="375"/>
        <v>0</v>
      </c>
    </row>
    <row r="483" spans="5:51" ht="60" customHeight="1" x14ac:dyDescent="0.2">
      <c r="E483" s="151">
        <f t="shared" si="373"/>
        <v>80307</v>
      </c>
      <c r="F483" s="170" t="s">
        <v>424</v>
      </c>
      <c r="G483" s="156"/>
      <c r="H483" s="157"/>
      <c r="I483" s="158"/>
      <c r="J483" s="159"/>
      <c r="K483" s="158"/>
      <c r="L483" s="159"/>
      <c r="M483" s="158">
        <v>185000</v>
      </c>
      <c r="N483" s="159">
        <v>185000</v>
      </c>
      <c r="O483" s="158">
        <v>1100000</v>
      </c>
      <c r="P483" s="159"/>
      <c r="Q483" s="165">
        <f t="shared" si="374"/>
        <v>915000</v>
      </c>
      <c r="R483" s="166">
        <f t="shared" si="374"/>
        <v>-185000</v>
      </c>
      <c r="S483" s="156">
        <v>195000</v>
      </c>
      <c r="T483" s="160"/>
      <c r="U483" s="157">
        <f>+S483</f>
        <v>195000</v>
      </c>
      <c r="V483" s="161">
        <v>1100000</v>
      </c>
      <c r="W483" s="158">
        <v>1100000</v>
      </c>
      <c r="X483" s="160">
        <v>750000</v>
      </c>
      <c r="Y483" s="160"/>
      <c r="Z483" s="160"/>
      <c r="AA483" s="160"/>
      <c r="AB483" s="159">
        <f>W483-X483</f>
        <v>350000</v>
      </c>
      <c r="AC483" s="158">
        <f t="shared" si="366"/>
        <v>0</v>
      </c>
      <c r="AD483" s="160"/>
      <c r="AE483" s="160"/>
      <c r="AF483" s="157"/>
      <c r="AG483" s="157"/>
      <c r="AH483" s="159"/>
      <c r="AI483" s="35">
        <f t="shared" si="367"/>
        <v>750000</v>
      </c>
      <c r="AJ483" s="11">
        <f t="shared" si="368"/>
        <v>0</v>
      </c>
      <c r="AK483" s="11">
        <f t="shared" si="369"/>
        <v>0</v>
      </c>
      <c r="AL483" s="11">
        <f t="shared" si="370"/>
        <v>0</v>
      </c>
      <c r="AM483" s="76">
        <f t="shared" si="371"/>
        <v>350000</v>
      </c>
      <c r="AN483" s="51">
        <f t="shared" si="372"/>
        <v>350000</v>
      </c>
      <c r="AO483" s="36"/>
      <c r="AP483" s="9"/>
      <c r="AQ483" s="9"/>
      <c r="AR483" s="9"/>
      <c r="AS483" s="9"/>
      <c r="AT483" s="9"/>
      <c r="AU483" s="9"/>
      <c r="AV483" s="9"/>
      <c r="AW483" s="10"/>
      <c r="AY483" s="11">
        <f t="shared" si="375"/>
        <v>0</v>
      </c>
    </row>
    <row r="484" spans="5:51" ht="60" customHeight="1" x14ac:dyDescent="0.2">
      <c r="E484" s="151">
        <f t="shared" si="373"/>
        <v>80308</v>
      </c>
      <c r="F484" s="170" t="s">
        <v>484</v>
      </c>
      <c r="G484" s="156"/>
      <c r="H484" s="157"/>
      <c r="I484" s="158"/>
      <c r="J484" s="159"/>
      <c r="K484" s="158"/>
      <c r="L484" s="159"/>
      <c r="M484" s="158"/>
      <c r="N484" s="159"/>
      <c r="O484" s="158"/>
      <c r="P484" s="159"/>
      <c r="Q484" s="165"/>
      <c r="R484" s="166"/>
      <c r="S484" s="156"/>
      <c r="T484" s="160"/>
      <c r="U484" s="157"/>
      <c r="V484" s="161">
        <v>3000000</v>
      </c>
      <c r="W484" s="158">
        <v>3000000</v>
      </c>
      <c r="X484" s="160">
        <v>1500000</v>
      </c>
      <c r="Y484" s="160"/>
      <c r="Z484" s="160"/>
      <c r="AA484" s="160"/>
      <c r="AB484" s="159">
        <f>W484-X484</f>
        <v>1500000</v>
      </c>
      <c r="AC484" s="158">
        <f t="shared" si="366"/>
        <v>0</v>
      </c>
      <c r="AD484" s="160"/>
      <c r="AE484" s="160"/>
      <c r="AF484" s="157"/>
      <c r="AG484" s="157"/>
      <c r="AH484" s="159"/>
      <c r="AI484" s="35">
        <f t="shared" si="367"/>
        <v>1500000</v>
      </c>
      <c r="AJ484" s="11">
        <f t="shared" si="368"/>
        <v>0</v>
      </c>
      <c r="AK484" s="11">
        <f t="shared" si="369"/>
        <v>0</v>
      </c>
      <c r="AL484" s="11">
        <f t="shared" si="370"/>
        <v>0</v>
      </c>
      <c r="AM484" s="76">
        <f t="shared" si="371"/>
        <v>1500000</v>
      </c>
      <c r="AN484" s="51">
        <f t="shared" si="372"/>
        <v>1500000</v>
      </c>
      <c r="AO484" s="36"/>
      <c r="AP484" s="9"/>
      <c r="AQ484" s="9"/>
      <c r="AR484" s="9"/>
      <c r="AS484" s="9"/>
      <c r="AT484" s="9"/>
      <c r="AU484" s="9"/>
      <c r="AV484" s="9"/>
      <c r="AW484" s="10"/>
      <c r="AY484" s="11">
        <f t="shared" si="375"/>
        <v>0</v>
      </c>
    </row>
    <row r="485" spans="5:51" ht="60" customHeight="1" x14ac:dyDescent="0.2">
      <c r="E485" s="151">
        <f t="shared" si="373"/>
        <v>80309</v>
      </c>
      <c r="F485" s="170" t="s">
        <v>485</v>
      </c>
      <c r="G485" s="156"/>
      <c r="H485" s="157"/>
      <c r="I485" s="158"/>
      <c r="J485" s="159"/>
      <c r="K485" s="158"/>
      <c r="L485" s="159"/>
      <c r="M485" s="158"/>
      <c r="N485" s="159"/>
      <c r="O485" s="158"/>
      <c r="P485" s="159"/>
      <c r="Q485" s="165"/>
      <c r="R485" s="166"/>
      <c r="S485" s="156"/>
      <c r="T485" s="160"/>
      <c r="U485" s="157"/>
      <c r="V485" s="161">
        <v>1100000</v>
      </c>
      <c r="W485" s="158">
        <v>1100000</v>
      </c>
      <c r="X485" s="160">
        <v>750000</v>
      </c>
      <c r="Y485" s="160"/>
      <c r="Z485" s="160"/>
      <c r="AA485" s="160"/>
      <c r="AB485" s="159">
        <f>W485-X485</f>
        <v>350000</v>
      </c>
      <c r="AC485" s="158">
        <f t="shared" si="366"/>
        <v>0</v>
      </c>
      <c r="AD485" s="160"/>
      <c r="AE485" s="160"/>
      <c r="AF485" s="157"/>
      <c r="AG485" s="157"/>
      <c r="AH485" s="159"/>
      <c r="AI485" s="35">
        <f t="shared" si="367"/>
        <v>750000</v>
      </c>
      <c r="AJ485" s="11">
        <f t="shared" si="368"/>
        <v>0</v>
      </c>
      <c r="AK485" s="11">
        <f t="shared" si="369"/>
        <v>0</v>
      </c>
      <c r="AL485" s="11">
        <f t="shared" si="370"/>
        <v>0</v>
      </c>
      <c r="AM485" s="76">
        <f t="shared" si="371"/>
        <v>350000</v>
      </c>
      <c r="AN485" s="51">
        <f t="shared" si="372"/>
        <v>350000</v>
      </c>
      <c r="AO485" s="36"/>
      <c r="AP485" s="9"/>
      <c r="AQ485" s="9"/>
      <c r="AR485" s="9"/>
      <c r="AS485" s="9"/>
      <c r="AT485" s="9"/>
      <c r="AU485" s="9"/>
      <c r="AV485" s="9"/>
      <c r="AW485" s="10"/>
      <c r="AY485" s="11">
        <f t="shared" si="375"/>
        <v>0</v>
      </c>
    </row>
    <row r="486" spans="5:51" ht="60" customHeight="1" x14ac:dyDescent="0.2">
      <c r="E486" s="151">
        <f t="shared" si="373"/>
        <v>80310</v>
      </c>
      <c r="F486" s="183" t="s">
        <v>534</v>
      </c>
      <c r="G486" s="156"/>
      <c r="H486" s="157"/>
      <c r="I486" s="158"/>
      <c r="J486" s="159"/>
      <c r="K486" s="158"/>
      <c r="L486" s="159"/>
      <c r="M486" s="158"/>
      <c r="N486" s="159"/>
      <c r="O486" s="158"/>
      <c r="P486" s="159"/>
      <c r="Q486" s="165"/>
      <c r="R486" s="166"/>
      <c r="S486" s="156"/>
      <c r="T486" s="160"/>
      <c r="U486" s="157"/>
      <c r="V486" s="161">
        <v>1100000</v>
      </c>
      <c r="W486" s="158">
        <v>0</v>
      </c>
      <c r="X486" s="160"/>
      <c r="Y486" s="160"/>
      <c r="Z486" s="160">
        <f>W486</f>
        <v>0</v>
      </c>
      <c r="AA486" s="160"/>
      <c r="AB486" s="159"/>
      <c r="AC486" s="158">
        <f t="shared" si="366"/>
        <v>1100000</v>
      </c>
      <c r="AD486" s="160"/>
      <c r="AE486" s="160"/>
      <c r="AF486" s="157"/>
      <c r="AG486" s="157"/>
      <c r="AH486" s="159">
        <f>AC486</f>
        <v>1100000</v>
      </c>
      <c r="AI486" s="35">
        <f t="shared" si="367"/>
        <v>0</v>
      </c>
      <c r="AJ486" s="11">
        <f t="shared" si="368"/>
        <v>0</v>
      </c>
      <c r="AK486" s="11">
        <f t="shared" si="369"/>
        <v>0</v>
      </c>
      <c r="AL486" s="11">
        <f t="shared" si="370"/>
        <v>0</v>
      </c>
      <c r="AM486" s="76">
        <f t="shared" si="371"/>
        <v>1100000</v>
      </c>
      <c r="AN486" s="51">
        <f t="shared" si="372"/>
        <v>1100000</v>
      </c>
      <c r="AO486" s="36"/>
      <c r="AP486" s="9"/>
      <c r="AQ486" s="9"/>
      <c r="AR486" s="9"/>
      <c r="AS486" s="9"/>
      <c r="AT486" s="9"/>
      <c r="AU486" s="9"/>
      <c r="AV486" s="9"/>
      <c r="AW486" s="10"/>
      <c r="AY486" s="11"/>
    </row>
    <row r="487" spans="5:51" ht="60" customHeight="1" x14ac:dyDescent="0.2">
      <c r="E487" s="151">
        <f t="shared" si="373"/>
        <v>80311</v>
      </c>
      <c r="F487" s="170" t="s">
        <v>486</v>
      </c>
      <c r="G487" s="156"/>
      <c r="H487" s="157"/>
      <c r="I487" s="158"/>
      <c r="J487" s="159"/>
      <c r="K487" s="158"/>
      <c r="L487" s="159"/>
      <c r="M487" s="158"/>
      <c r="N487" s="159"/>
      <c r="O487" s="158"/>
      <c r="P487" s="159"/>
      <c r="Q487" s="165"/>
      <c r="R487" s="166"/>
      <c r="S487" s="156"/>
      <c r="T487" s="160"/>
      <c r="U487" s="157"/>
      <c r="V487" s="161">
        <v>1100000</v>
      </c>
      <c r="W487" s="158">
        <v>1100000</v>
      </c>
      <c r="X487" s="160">
        <v>750000</v>
      </c>
      <c r="Y487" s="160"/>
      <c r="Z487" s="160"/>
      <c r="AA487" s="160"/>
      <c r="AB487" s="159">
        <f>W487-X487</f>
        <v>350000</v>
      </c>
      <c r="AC487" s="158">
        <f t="shared" si="366"/>
        <v>0</v>
      </c>
      <c r="AD487" s="160"/>
      <c r="AE487" s="160"/>
      <c r="AF487" s="157"/>
      <c r="AG487" s="157"/>
      <c r="AH487" s="159"/>
      <c r="AI487" s="35">
        <f t="shared" si="367"/>
        <v>750000</v>
      </c>
      <c r="AJ487" s="11">
        <f t="shared" si="368"/>
        <v>0</v>
      </c>
      <c r="AK487" s="11">
        <f t="shared" si="369"/>
        <v>0</v>
      </c>
      <c r="AL487" s="11">
        <f t="shared" si="370"/>
        <v>0</v>
      </c>
      <c r="AM487" s="76">
        <f t="shared" si="371"/>
        <v>350000</v>
      </c>
      <c r="AN487" s="51">
        <f t="shared" si="372"/>
        <v>350000</v>
      </c>
      <c r="AO487" s="36"/>
      <c r="AP487" s="9"/>
      <c r="AQ487" s="9"/>
      <c r="AR487" s="9"/>
      <c r="AS487" s="9"/>
      <c r="AT487" s="9"/>
      <c r="AU487" s="9"/>
      <c r="AV487" s="9"/>
      <c r="AW487" s="10"/>
      <c r="AY487" s="11">
        <f t="shared" ref="AY487:AY495" si="376">V487-W487-AC487</f>
        <v>0</v>
      </c>
    </row>
    <row r="488" spans="5:51" ht="60" customHeight="1" x14ac:dyDescent="0.2">
      <c r="E488" s="151">
        <f t="shared" si="373"/>
        <v>80312</v>
      </c>
      <c r="F488" s="170" t="s">
        <v>487</v>
      </c>
      <c r="G488" s="156"/>
      <c r="H488" s="157"/>
      <c r="I488" s="158"/>
      <c r="J488" s="159"/>
      <c r="K488" s="158"/>
      <c r="L488" s="159"/>
      <c r="M488" s="158"/>
      <c r="N488" s="159"/>
      <c r="O488" s="158"/>
      <c r="P488" s="159"/>
      <c r="Q488" s="165"/>
      <c r="R488" s="166"/>
      <c r="S488" s="156"/>
      <c r="T488" s="160"/>
      <c r="U488" s="157"/>
      <c r="V488" s="161">
        <v>2200000</v>
      </c>
      <c r="W488" s="158">
        <v>2200000</v>
      </c>
      <c r="X488" s="160">
        <v>1500000</v>
      </c>
      <c r="Y488" s="160"/>
      <c r="Z488" s="160"/>
      <c r="AA488" s="160"/>
      <c r="AB488" s="159">
        <f>W488-X488</f>
        <v>700000</v>
      </c>
      <c r="AC488" s="158">
        <f t="shared" si="366"/>
        <v>0</v>
      </c>
      <c r="AD488" s="160"/>
      <c r="AE488" s="160"/>
      <c r="AF488" s="157"/>
      <c r="AG488" s="157"/>
      <c r="AH488" s="159"/>
      <c r="AI488" s="35">
        <f t="shared" si="367"/>
        <v>1500000</v>
      </c>
      <c r="AJ488" s="11">
        <f t="shared" si="368"/>
        <v>0</v>
      </c>
      <c r="AK488" s="11">
        <f t="shared" si="369"/>
        <v>0</v>
      </c>
      <c r="AL488" s="11">
        <f t="shared" si="370"/>
        <v>0</v>
      </c>
      <c r="AM488" s="76">
        <f t="shared" si="371"/>
        <v>700000</v>
      </c>
      <c r="AN488" s="51">
        <f t="shared" si="372"/>
        <v>700000</v>
      </c>
      <c r="AO488" s="36"/>
      <c r="AP488" s="9"/>
      <c r="AQ488" s="9"/>
      <c r="AR488" s="9"/>
      <c r="AS488" s="9"/>
      <c r="AT488" s="9"/>
      <c r="AU488" s="9"/>
      <c r="AV488" s="9"/>
      <c r="AW488" s="10"/>
      <c r="AY488" s="11">
        <f t="shared" si="376"/>
        <v>0</v>
      </c>
    </row>
    <row r="489" spans="5:51" ht="60" customHeight="1" x14ac:dyDescent="0.2">
      <c r="E489" s="151">
        <f t="shared" si="373"/>
        <v>80313</v>
      </c>
      <c r="F489" s="170" t="s">
        <v>488</v>
      </c>
      <c r="G489" s="156"/>
      <c r="H489" s="157"/>
      <c r="I489" s="158"/>
      <c r="J489" s="159"/>
      <c r="K489" s="158"/>
      <c r="L489" s="159"/>
      <c r="M489" s="158"/>
      <c r="N489" s="159"/>
      <c r="O489" s="158"/>
      <c r="P489" s="159"/>
      <c r="Q489" s="165"/>
      <c r="R489" s="166"/>
      <c r="S489" s="156"/>
      <c r="T489" s="160"/>
      <c r="U489" s="157"/>
      <c r="V489" s="161">
        <v>4500000</v>
      </c>
      <c r="W489" s="158">
        <v>4500000</v>
      </c>
      <c r="X489" s="160">
        <v>3000000</v>
      </c>
      <c r="Y489" s="160"/>
      <c r="Z489" s="160"/>
      <c r="AA489" s="160"/>
      <c r="AB489" s="159">
        <f>W489-X489</f>
        <v>1500000</v>
      </c>
      <c r="AC489" s="158">
        <f t="shared" si="366"/>
        <v>0</v>
      </c>
      <c r="AD489" s="160"/>
      <c r="AE489" s="160"/>
      <c r="AF489" s="157"/>
      <c r="AG489" s="157"/>
      <c r="AH489" s="159"/>
      <c r="AI489" s="35">
        <f t="shared" si="367"/>
        <v>3000000</v>
      </c>
      <c r="AJ489" s="11">
        <f t="shared" si="368"/>
        <v>0</v>
      </c>
      <c r="AK489" s="11">
        <f t="shared" si="369"/>
        <v>0</v>
      </c>
      <c r="AL489" s="11">
        <f t="shared" si="370"/>
        <v>0</v>
      </c>
      <c r="AM489" s="76">
        <f t="shared" si="371"/>
        <v>1500000</v>
      </c>
      <c r="AN489" s="51">
        <f t="shared" si="372"/>
        <v>1500000</v>
      </c>
      <c r="AO489" s="36"/>
      <c r="AP489" s="9"/>
      <c r="AQ489" s="9"/>
      <c r="AR489" s="9"/>
      <c r="AS489" s="9"/>
      <c r="AT489" s="9"/>
      <c r="AU489" s="9"/>
      <c r="AV489" s="9"/>
      <c r="AW489" s="10"/>
      <c r="AY489" s="11">
        <f t="shared" si="376"/>
        <v>0</v>
      </c>
    </row>
    <row r="490" spans="5:51" ht="60" customHeight="1" x14ac:dyDescent="0.2">
      <c r="E490" s="151">
        <f t="shared" si="373"/>
        <v>80314</v>
      </c>
      <c r="F490" s="170" t="s">
        <v>483</v>
      </c>
      <c r="G490" s="156"/>
      <c r="H490" s="157"/>
      <c r="I490" s="158"/>
      <c r="J490" s="159"/>
      <c r="K490" s="158"/>
      <c r="L490" s="159"/>
      <c r="M490" s="158"/>
      <c r="N490" s="159"/>
      <c r="O490" s="158">
        <v>2200000</v>
      </c>
      <c r="P490" s="159"/>
      <c r="Q490" s="165">
        <f t="shared" si="374"/>
        <v>2200000</v>
      </c>
      <c r="R490" s="166">
        <f t="shared" si="374"/>
        <v>0</v>
      </c>
      <c r="S490" s="156"/>
      <c r="T490" s="160"/>
      <c r="U490" s="157"/>
      <c r="V490" s="161">
        <v>1100000</v>
      </c>
      <c r="W490" s="158">
        <v>1100000</v>
      </c>
      <c r="X490" s="160">
        <v>750000</v>
      </c>
      <c r="Y490" s="160"/>
      <c r="Z490" s="160"/>
      <c r="AA490" s="160"/>
      <c r="AB490" s="159">
        <f>W490-X490</f>
        <v>350000</v>
      </c>
      <c r="AC490" s="158">
        <f t="shared" si="366"/>
        <v>0</v>
      </c>
      <c r="AD490" s="160"/>
      <c r="AE490" s="160"/>
      <c r="AF490" s="157"/>
      <c r="AG490" s="157"/>
      <c r="AH490" s="159"/>
      <c r="AI490" s="35">
        <f t="shared" si="367"/>
        <v>750000</v>
      </c>
      <c r="AJ490" s="11">
        <f t="shared" si="368"/>
        <v>0</v>
      </c>
      <c r="AK490" s="11">
        <f t="shared" si="369"/>
        <v>0</v>
      </c>
      <c r="AL490" s="11">
        <f t="shared" si="370"/>
        <v>0</v>
      </c>
      <c r="AM490" s="76">
        <f t="shared" si="371"/>
        <v>350000</v>
      </c>
      <c r="AN490" s="51">
        <f t="shared" si="372"/>
        <v>350000</v>
      </c>
      <c r="AO490" s="36"/>
      <c r="AP490" s="9"/>
      <c r="AQ490" s="9"/>
      <c r="AR490" s="9"/>
      <c r="AS490" s="9"/>
      <c r="AT490" s="9"/>
      <c r="AU490" s="9"/>
      <c r="AV490" s="9"/>
      <c r="AW490" s="10"/>
      <c r="AY490" s="11">
        <f t="shared" si="376"/>
        <v>0</v>
      </c>
    </row>
    <row r="491" spans="5:51" ht="60" customHeight="1" x14ac:dyDescent="0.2">
      <c r="E491" s="151">
        <f t="shared" si="373"/>
        <v>80315</v>
      </c>
      <c r="F491" s="170" t="s">
        <v>370</v>
      </c>
      <c r="G491" s="156"/>
      <c r="H491" s="157"/>
      <c r="I491" s="158"/>
      <c r="J491" s="159"/>
      <c r="K491" s="158"/>
      <c r="L491" s="159"/>
      <c r="M491" s="158"/>
      <c r="N491" s="159"/>
      <c r="O491" s="158">
        <v>3760000</v>
      </c>
      <c r="P491" s="159"/>
      <c r="Q491" s="165">
        <f t="shared" si="374"/>
        <v>3760000</v>
      </c>
      <c r="R491" s="166">
        <f t="shared" si="374"/>
        <v>0</v>
      </c>
      <c r="S491" s="156"/>
      <c r="T491" s="160"/>
      <c r="U491" s="157"/>
      <c r="V491" s="161">
        <v>3760000</v>
      </c>
      <c r="W491" s="158">
        <v>3760000</v>
      </c>
      <c r="X491" s="160">
        <f>W491</f>
        <v>3760000</v>
      </c>
      <c r="Y491" s="160"/>
      <c r="Z491" s="160"/>
      <c r="AA491" s="160"/>
      <c r="AB491" s="159"/>
      <c r="AC491" s="158">
        <f t="shared" si="366"/>
        <v>0</v>
      </c>
      <c r="AD491" s="160"/>
      <c r="AE491" s="160"/>
      <c r="AF491" s="157"/>
      <c r="AG491" s="157"/>
      <c r="AH491" s="159"/>
      <c r="AI491" s="35">
        <f t="shared" si="367"/>
        <v>3760000</v>
      </c>
      <c r="AJ491" s="11">
        <f t="shared" si="368"/>
        <v>0</v>
      </c>
      <c r="AK491" s="11">
        <f t="shared" si="369"/>
        <v>0</v>
      </c>
      <c r="AL491" s="11">
        <f t="shared" si="370"/>
        <v>0</v>
      </c>
      <c r="AM491" s="76">
        <f t="shared" si="371"/>
        <v>0</v>
      </c>
      <c r="AN491" s="51">
        <f t="shared" si="372"/>
        <v>0</v>
      </c>
      <c r="AO491" s="36"/>
      <c r="AP491" s="9"/>
      <c r="AQ491" s="9"/>
      <c r="AR491" s="9"/>
      <c r="AS491" s="9"/>
      <c r="AT491" s="9"/>
      <c r="AU491" s="9"/>
      <c r="AV491" s="9"/>
      <c r="AW491" s="10"/>
      <c r="AY491" s="11">
        <f t="shared" si="376"/>
        <v>0</v>
      </c>
    </row>
    <row r="492" spans="5:51" ht="60" customHeight="1" x14ac:dyDescent="0.2">
      <c r="E492" s="151">
        <f t="shared" si="373"/>
        <v>80316</v>
      </c>
      <c r="F492" s="170" t="s">
        <v>377</v>
      </c>
      <c r="G492" s="156"/>
      <c r="H492" s="157"/>
      <c r="I492" s="158"/>
      <c r="J492" s="159"/>
      <c r="K492" s="158"/>
      <c r="L492" s="159"/>
      <c r="M492" s="158"/>
      <c r="N492" s="159"/>
      <c r="O492" s="158">
        <v>3760000</v>
      </c>
      <c r="P492" s="159"/>
      <c r="Q492" s="165">
        <f t="shared" si="374"/>
        <v>3760000</v>
      </c>
      <c r="R492" s="166">
        <f t="shared" si="374"/>
        <v>0</v>
      </c>
      <c r="S492" s="156"/>
      <c r="T492" s="160"/>
      <c r="U492" s="157"/>
      <c r="V492" s="161">
        <v>3760000</v>
      </c>
      <c r="W492" s="158">
        <v>3760000</v>
      </c>
      <c r="X492" s="160">
        <f>W492</f>
        <v>3760000</v>
      </c>
      <c r="Y492" s="160"/>
      <c r="Z492" s="160"/>
      <c r="AA492" s="160"/>
      <c r="AB492" s="159"/>
      <c r="AC492" s="158">
        <f t="shared" si="366"/>
        <v>0</v>
      </c>
      <c r="AD492" s="160"/>
      <c r="AE492" s="160"/>
      <c r="AF492" s="157"/>
      <c r="AG492" s="157"/>
      <c r="AH492" s="159"/>
      <c r="AI492" s="35">
        <f t="shared" si="367"/>
        <v>3760000</v>
      </c>
      <c r="AJ492" s="11">
        <f t="shared" si="368"/>
        <v>0</v>
      </c>
      <c r="AK492" s="11">
        <f t="shared" si="369"/>
        <v>0</v>
      </c>
      <c r="AL492" s="11">
        <f t="shared" si="370"/>
        <v>0</v>
      </c>
      <c r="AM492" s="76">
        <f t="shared" si="371"/>
        <v>0</v>
      </c>
      <c r="AN492" s="51">
        <f t="shared" si="372"/>
        <v>0</v>
      </c>
      <c r="AO492" s="36"/>
      <c r="AP492" s="9"/>
      <c r="AQ492" s="9"/>
      <c r="AR492" s="9"/>
      <c r="AS492" s="9"/>
      <c r="AT492" s="9"/>
      <c r="AU492" s="9"/>
      <c r="AV492" s="9"/>
      <c r="AW492" s="10"/>
      <c r="AY492" s="11">
        <f t="shared" si="376"/>
        <v>0</v>
      </c>
    </row>
    <row r="493" spans="5:51" ht="60" customHeight="1" x14ac:dyDescent="0.2">
      <c r="E493" s="151">
        <f t="shared" si="373"/>
        <v>80317</v>
      </c>
      <c r="F493" s="170" t="s">
        <v>525</v>
      </c>
      <c r="G493" s="156"/>
      <c r="H493" s="157"/>
      <c r="I493" s="158"/>
      <c r="J493" s="159"/>
      <c r="K493" s="158"/>
      <c r="L493" s="159"/>
      <c r="M493" s="158"/>
      <c r="N493" s="159"/>
      <c r="O493" s="158"/>
      <c r="P493" s="159"/>
      <c r="Q493" s="165"/>
      <c r="R493" s="166"/>
      <c r="S493" s="156"/>
      <c r="T493" s="160"/>
      <c r="U493" s="157"/>
      <c r="V493" s="161">
        <v>3000000</v>
      </c>
      <c r="W493" s="158">
        <v>0</v>
      </c>
      <c r="X493" s="160"/>
      <c r="Y493" s="160"/>
      <c r="Z493" s="160"/>
      <c r="AA493" s="160"/>
      <c r="AB493" s="159"/>
      <c r="AC493" s="158">
        <f t="shared" si="366"/>
        <v>3000000</v>
      </c>
      <c r="AD493" s="160">
        <v>1020000</v>
      </c>
      <c r="AE493" s="160"/>
      <c r="AF493" s="157"/>
      <c r="AG493" s="157"/>
      <c r="AH493" s="159">
        <f>AC493-AD493</f>
        <v>1980000</v>
      </c>
      <c r="AI493" s="35">
        <f t="shared" si="367"/>
        <v>1020000</v>
      </c>
      <c r="AJ493" s="11">
        <f t="shared" si="368"/>
        <v>0</v>
      </c>
      <c r="AK493" s="11">
        <f t="shared" si="369"/>
        <v>0</v>
      </c>
      <c r="AL493" s="11">
        <f t="shared" si="370"/>
        <v>0</v>
      </c>
      <c r="AM493" s="76">
        <f t="shared" si="371"/>
        <v>1980000</v>
      </c>
      <c r="AN493" s="51">
        <f t="shared" si="372"/>
        <v>1980000</v>
      </c>
      <c r="AO493" s="36"/>
      <c r="AP493" s="9"/>
      <c r="AQ493" s="9"/>
      <c r="AR493" s="9"/>
      <c r="AS493" s="9"/>
      <c r="AT493" s="9"/>
      <c r="AU493" s="9"/>
      <c r="AV493" s="9"/>
      <c r="AW493" s="10"/>
      <c r="AY493" s="11">
        <f t="shared" si="376"/>
        <v>0</v>
      </c>
    </row>
    <row r="494" spans="5:51" ht="60" customHeight="1" x14ac:dyDescent="0.2">
      <c r="E494" s="151">
        <f t="shared" si="373"/>
        <v>80318</v>
      </c>
      <c r="F494" s="170" t="s">
        <v>371</v>
      </c>
      <c r="G494" s="156"/>
      <c r="H494" s="157"/>
      <c r="I494" s="158"/>
      <c r="J494" s="159"/>
      <c r="K494" s="158"/>
      <c r="L494" s="159"/>
      <c r="M494" s="158"/>
      <c r="N494" s="159"/>
      <c r="O494" s="158">
        <v>1100000</v>
      </c>
      <c r="P494" s="159">
        <v>250000</v>
      </c>
      <c r="Q494" s="165">
        <f t="shared" si="374"/>
        <v>1100000</v>
      </c>
      <c r="R494" s="166">
        <f t="shared" si="374"/>
        <v>250000</v>
      </c>
      <c r="S494" s="156">
        <v>250000</v>
      </c>
      <c r="T494" s="160"/>
      <c r="U494" s="157">
        <f>+S494</f>
        <v>250000</v>
      </c>
      <c r="V494" s="161">
        <v>1100000</v>
      </c>
      <c r="W494" s="158">
        <v>1100000</v>
      </c>
      <c r="X494" s="160">
        <v>750000</v>
      </c>
      <c r="Y494" s="160"/>
      <c r="Z494" s="160"/>
      <c r="AA494" s="160"/>
      <c r="AB494" s="159">
        <f>W494-X494</f>
        <v>350000</v>
      </c>
      <c r="AC494" s="158">
        <f t="shared" si="366"/>
        <v>0</v>
      </c>
      <c r="AD494" s="160"/>
      <c r="AE494" s="160"/>
      <c r="AF494" s="157"/>
      <c r="AG494" s="157"/>
      <c r="AH494" s="159"/>
      <c r="AI494" s="35">
        <f t="shared" si="367"/>
        <v>750000</v>
      </c>
      <c r="AJ494" s="11">
        <f t="shared" si="368"/>
        <v>0</v>
      </c>
      <c r="AK494" s="11">
        <f t="shared" si="369"/>
        <v>0</v>
      </c>
      <c r="AL494" s="11">
        <f t="shared" si="370"/>
        <v>0</v>
      </c>
      <c r="AM494" s="76">
        <f t="shared" si="371"/>
        <v>350000</v>
      </c>
      <c r="AN494" s="51">
        <f t="shared" si="372"/>
        <v>350000</v>
      </c>
      <c r="AO494" s="36"/>
      <c r="AP494" s="9"/>
      <c r="AQ494" s="9"/>
      <c r="AR494" s="9"/>
      <c r="AS494" s="9"/>
      <c r="AT494" s="9"/>
      <c r="AU494" s="9"/>
      <c r="AV494" s="9"/>
      <c r="AW494" s="10"/>
      <c r="AY494" s="11">
        <f t="shared" si="376"/>
        <v>0</v>
      </c>
    </row>
    <row r="495" spans="5:51" ht="60" customHeight="1" x14ac:dyDescent="0.2">
      <c r="E495" s="151">
        <f t="shared" si="373"/>
        <v>80319</v>
      </c>
      <c r="F495" s="170" t="s">
        <v>372</v>
      </c>
      <c r="G495" s="156"/>
      <c r="H495" s="157"/>
      <c r="I495" s="158"/>
      <c r="J495" s="159"/>
      <c r="K495" s="158"/>
      <c r="L495" s="159"/>
      <c r="M495" s="158"/>
      <c r="N495" s="159"/>
      <c r="O495" s="158">
        <v>6000000</v>
      </c>
      <c r="P495" s="159"/>
      <c r="Q495" s="165">
        <f t="shared" si="374"/>
        <v>6000000</v>
      </c>
      <c r="R495" s="166">
        <f t="shared" si="374"/>
        <v>0</v>
      </c>
      <c r="S495" s="156"/>
      <c r="T495" s="160"/>
      <c r="U495" s="157"/>
      <c r="V495" s="161">
        <v>6000000</v>
      </c>
      <c r="W495" s="158">
        <v>6000000</v>
      </c>
      <c r="X495" s="160">
        <f>W495</f>
        <v>6000000</v>
      </c>
      <c r="Y495" s="160"/>
      <c r="Z495" s="160"/>
      <c r="AA495" s="160"/>
      <c r="AB495" s="159"/>
      <c r="AC495" s="158">
        <f t="shared" si="366"/>
        <v>0</v>
      </c>
      <c r="AD495" s="160"/>
      <c r="AE495" s="160"/>
      <c r="AF495" s="157"/>
      <c r="AG495" s="157"/>
      <c r="AH495" s="159"/>
      <c r="AI495" s="35">
        <f t="shared" si="367"/>
        <v>6000000</v>
      </c>
      <c r="AJ495" s="11">
        <f t="shared" si="368"/>
        <v>0</v>
      </c>
      <c r="AK495" s="11">
        <f t="shared" si="369"/>
        <v>0</v>
      </c>
      <c r="AL495" s="11">
        <f t="shared" si="370"/>
        <v>0</v>
      </c>
      <c r="AM495" s="76">
        <f t="shared" si="371"/>
        <v>0</v>
      </c>
      <c r="AN495" s="51">
        <f t="shared" si="372"/>
        <v>0</v>
      </c>
      <c r="AO495" s="36"/>
      <c r="AP495" s="9"/>
      <c r="AQ495" s="9"/>
      <c r="AR495" s="9"/>
      <c r="AS495" s="9"/>
      <c r="AT495" s="9"/>
      <c r="AU495" s="9"/>
      <c r="AV495" s="9"/>
      <c r="AW495" s="10"/>
      <c r="AY495" s="11">
        <f t="shared" si="376"/>
        <v>0</v>
      </c>
    </row>
    <row r="496" spans="5:51" ht="60" customHeight="1" x14ac:dyDescent="0.2">
      <c r="E496" s="151">
        <f t="shared" si="373"/>
        <v>80320</v>
      </c>
      <c r="F496" s="170" t="s">
        <v>535</v>
      </c>
      <c r="G496" s="156"/>
      <c r="H496" s="157"/>
      <c r="I496" s="158"/>
      <c r="J496" s="159"/>
      <c r="K496" s="158"/>
      <c r="L496" s="159"/>
      <c r="M496" s="158"/>
      <c r="N496" s="159"/>
      <c r="O496" s="158"/>
      <c r="P496" s="159"/>
      <c r="Q496" s="165"/>
      <c r="R496" s="166"/>
      <c r="S496" s="156"/>
      <c r="T496" s="160"/>
      <c r="U496" s="157"/>
      <c r="V496" s="161">
        <v>6000000</v>
      </c>
      <c r="W496" s="158">
        <f>V496</f>
        <v>6000000</v>
      </c>
      <c r="X496" s="160">
        <f>W496</f>
        <v>6000000</v>
      </c>
      <c r="Y496" s="160"/>
      <c r="Z496" s="160"/>
      <c r="AA496" s="160"/>
      <c r="AB496" s="159"/>
      <c r="AC496" s="158"/>
      <c r="AD496" s="160"/>
      <c r="AE496" s="160"/>
      <c r="AF496" s="157"/>
      <c r="AG496" s="157"/>
      <c r="AH496" s="159"/>
      <c r="AI496" s="35">
        <f t="shared" si="367"/>
        <v>6000000</v>
      </c>
      <c r="AJ496" s="11">
        <f t="shared" si="368"/>
        <v>0</v>
      </c>
      <c r="AK496" s="11">
        <f t="shared" si="369"/>
        <v>0</v>
      </c>
      <c r="AL496" s="11">
        <f t="shared" si="370"/>
        <v>0</v>
      </c>
      <c r="AM496" s="76">
        <f t="shared" si="371"/>
        <v>0</v>
      </c>
      <c r="AN496" s="51"/>
      <c r="AO496" s="36"/>
      <c r="AP496" s="9"/>
      <c r="AQ496" s="9"/>
      <c r="AR496" s="9"/>
      <c r="AS496" s="9"/>
      <c r="AT496" s="9"/>
      <c r="AU496" s="9"/>
      <c r="AV496" s="9"/>
      <c r="AW496" s="10"/>
      <c r="AY496" s="11"/>
    </row>
    <row r="497" spans="5:51" ht="60" customHeight="1" x14ac:dyDescent="0.2">
      <c r="E497" s="151">
        <f t="shared" si="373"/>
        <v>80321</v>
      </c>
      <c r="F497" s="170" t="s">
        <v>373</v>
      </c>
      <c r="G497" s="156"/>
      <c r="H497" s="157"/>
      <c r="I497" s="158">
        <v>450000</v>
      </c>
      <c r="J497" s="159"/>
      <c r="K497" s="158"/>
      <c r="L497" s="159"/>
      <c r="M497" s="158"/>
      <c r="N497" s="159"/>
      <c r="O497" s="158">
        <v>3700000</v>
      </c>
      <c r="P497" s="159"/>
      <c r="Q497" s="165">
        <f t="shared" si="374"/>
        <v>3700000</v>
      </c>
      <c r="R497" s="166">
        <f t="shared" si="374"/>
        <v>0</v>
      </c>
      <c r="S497" s="156">
        <v>200000</v>
      </c>
      <c r="T497" s="160">
        <v>20000</v>
      </c>
      <c r="U497" s="164">
        <f>+S497-T497</f>
        <v>180000</v>
      </c>
      <c r="V497" s="161">
        <v>5865000</v>
      </c>
      <c r="W497" s="158">
        <f>V497</f>
        <v>5865000</v>
      </c>
      <c r="X497" s="160">
        <v>1700000</v>
      </c>
      <c r="Y497" s="160"/>
      <c r="Z497" s="160"/>
      <c r="AA497" s="160"/>
      <c r="AB497" s="159">
        <f>W497-X497</f>
        <v>4165000</v>
      </c>
      <c r="AC497" s="158">
        <f t="shared" ref="AC497:AC516" si="377">V497-W497</f>
        <v>0</v>
      </c>
      <c r="AD497" s="160"/>
      <c r="AE497" s="160"/>
      <c r="AF497" s="157"/>
      <c r="AG497" s="157"/>
      <c r="AH497" s="159"/>
      <c r="AI497" s="35">
        <f t="shared" si="367"/>
        <v>1700000</v>
      </c>
      <c r="AJ497" s="11">
        <f t="shared" si="368"/>
        <v>0</v>
      </c>
      <c r="AK497" s="11">
        <f t="shared" si="369"/>
        <v>0</v>
      </c>
      <c r="AL497" s="11">
        <f t="shared" si="370"/>
        <v>0</v>
      </c>
      <c r="AM497" s="76">
        <f t="shared" si="371"/>
        <v>4165000</v>
      </c>
      <c r="AN497" s="51">
        <f t="shared" si="372"/>
        <v>4165000</v>
      </c>
      <c r="AO497" s="36"/>
      <c r="AP497" s="9"/>
      <c r="AQ497" s="9"/>
      <c r="AR497" s="9"/>
      <c r="AS497" s="9"/>
      <c r="AT497" s="9"/>
      <c r="AU497" s="9"/>
      <c r="AV497" s="9"/>
      <c r="AW497" s="10"/>
      <c r="AY497" s="11">
        <f>V497-W497-AC497</f>
        <v>0</v>
      </c>
    </row>
    <row r="498" spans="5:51" ht="60" customHeight="1" x14ac:dyDescent="0.2">
      <c r="E498" s="151">
        <f t="shared" si="373"/>
        <v>80322</v>
      </c>
      <c r="F498" s="170" t="s">
        <v>482</v>
      </c>
      <c r="G498" s="156"/>
      <c r="H498" s="157"/>
      <c r="I498" s="158"/>
      <c r="J498" s="159"/>
      <c r="K498" s="158"/>
      <c r="L498" s="159"/>
      <c r="M498" s="158"/>
      <c r="N498" s="159"/>
      <c r="O498" s="158"/>
      <c r="P498" s="159"/>
      <c r="Q498" s="165">
        <f t="shared" si="374"/>
        <v>0</v>
      </c>
      <c r="R498" s="166">
        <f t="shared" si="374"/>
        <v>0</v>
      </c>
      <c r="S498" s="156"/>
      <c r="T498" s="160"/>
      <c r="U498" s="164"/>
      <c r="V498" s="161">
        <v>2000000</v>
      </c>
      <c r="W498" s="158">
        <v>2000000</v>
      </c>
      <c r="X498" s="160"/>
      <c r="Y498" s="160"/>
      <c r="Z498" s="160"/>
      <c r="AA498" s="160"/>
      <c r="AB498" s="159">
        <f>W498</f>
        <v>2000000</v>
      </c>
      <c r="AC498" s="158">
        <f t="shared" si="377"/>
        <v>0</v>
      </c>
      <c r="AD498" s="160"/>
      <c r="AE498" s="160"/>
      <c r="AF498" s="157"/>
      <c r="AG498" s="157"/>
      <c r="AH498" s="159"/>
      <c r="AI498" s="35">
        <f t="shared" si="367"/>
        <v>0</v>
      </c>
      <c r="AJ498" s="11">
        <f t="shared" si="368"/>
        <v>0</v>
      </c>
      <c r="AK498" s="11">
        <f t="shared" si="369"/>
        <v>0</v>
      </c>
      <c r="AL498" s="11">
        <f t="shared" si="370"/>
        <v>0</v>
      </c>
      <c r="AM498" s="76">
        <f t="shared" si="371"/>
        <v>2000000</v>
      </c>
      <c r="AN498" s="51">
        <f t="shared" si="372"/>
        <v>2000000</v>
      </c>
      <c r="AO498" s="36"/>
      <c r="AP498" s="9"/>
      <c r="AQ498" s="9"/>
      <c r="AR498" s="9"/>
      <c r="AS498" s="9"/>
      <c r="AT498" s="9"/>
      <c r="AU498" s="9"/>
      <c r="AV498" s="9"/>
      <c r="AW498" s="10"/>
      <c r="AY498" s="11">
        <f>V498-W498-AC498</f>
        <v>0</v>
      </c>
    </row>
    <row r="499" spans="5:51" ht="60" customHeight="1" x14ac:dyDescent="0.2">
      <c r="E499" s="151">
        <f t="shared" si="373"/>
        <v>80323</v>
      </c>
      <c r="F499" s="170" t="s">
        <v>374</v>
      </c>
      <c r="G499" s="156"/>
      <c r="H499" s="157"/>
      <c r="I499" s="158"/>
      <c r="J499" s="159"/>
      <c r="K499" s="158"/>
      <c r="L499" s="159"/>
      <c r="M499" s="158"/>
      <c r="N499" s="159"/>
      <c r="O499" s="158">
        <v>1000000</v>
      </c>
      <c r="P499" s="159">
        <v>122850</v>
      </c>
      <c r="Q499" s="165">
        <f t="shared" si="374"/>
        <v>1000000</v>
      </c>
      <c r="R499" s="166">
        <f t="shared" si="374"/>
        <v>122850</v>
      </c>
      <c r="S499" s="156">
        <v>120000</v>
      </c>
      <c r="T499" s="160"/>
      <c r="U499" s="164">
        <f>+S499</f>
        <v>120000</v>
      </c>
      <c r="V499" s="161">
        <v>1000000</v>
      </c>
      <c r="W499" s="158">
        <v>0</v>
      </c>
      <c r="X499" s="160"/>
      <c r="Y499" s="160"/>
      <c r="Z499" s="160">
        <f>W499</f>
        <v>0</v>
      </c>
      <c r="AA499" s="160"/>
      <c r="AB499" s="159"/>
      <c r="AC499" s="158">
        <f t="shared" si="377"/>
        <v>1000000</v>
      </c>
      <c r="AD499" s="160"/>
      <c r="AE499" s="160"/>
      <c r="AF499" s="157"/>
      <c r="AG499" s="157"/>
      <c r="AH499" s="159">
        <f>V499-Z499</f>
        <v>1000000</v>
      </c>
      <c r="AI499" s="35">
        <f t="shared" si="367"/>
        <v>0</v>
      </c>
      <c r="AJ499" s="11">
        <f t="shared" si="368"/>
        <v>0</v>
      </c>
      <c r="AK499" s="11">
        <f t="shared" si="369"/>
        <v>0</v>
      </c>
      <c r="AL499" s="11">
        <f t="shared" si="370"/>
        <v>0</v>
      </c>
      <c r="AM499" s="76">
        <f t="shared" si="371"/>
        <v>1000000</v>
      </c>
      <c r="AN499" s="51">
        <f t="shared" si="372"/>
        <v>1000000</v>
      </c>
      <c r="AO499" s="36"/>
      <c r="AP499" s="9"/>
      <c r="AQ499" s="9"/>
      <c r="AR499" s="9"/>
      <c r="AS499" s="9"/>
      <c r="AT499" s="9"/>
      <c r="AU499" s="9"/>
      <c r="AV499" s="9"/>
      <c r="AW499" s="10"/>
      <c r="AY499" s="11">
        <f>V499-W499-AC499</f>
        <v>0</v>
      </c>
    </row>
    <row r="500" spans="5:51" ht="60" customHeight="1" x14ac:dyDescent="0.2">
      <c r="E500" s="151">
        <f t="shared" si="373"/>
        <v>80324</v>
      </c>
      <c r="F500" s="170" t="s">
        <v>491</v>
      </c>
      <c r="G500" s="156"/>
      <c r="H500" s="157"/>
      <c r="I500" s="158"/>
      <c r="J500" s="159"/>
      <c r="K500" s="158"/>
      <c r="L500" s="159"/>
      <c r="M500" s="158"/>
      <c r="N500" s="159"/>
      <c r="O500" s="158"/>
      <c r="P500" s="159"/>
      <c r="Q500" s="165"/>
      <c r="R500" s="166"/>
      <c r="S500" s="156"/>
      <c r="T500" s="160"/>
      <c r="U500" s="164"/>
      <c r="V500" s="161">
        <v>500000</v>
      </c>
      <c r="W500" s="158">
        <v>0</v>
      </c>
      <c r="X500" s="160"/>
      <c r="Y500" s="160"/>
      <c r="Z500" s="160">
        <f>W500</f>
        <v>0</v>
      </c>
      <c r="AA500" s="160"/>
      <c r="AB500" s="159"/>
      <c r="AC500" s="158">
        <f t="shared" si="377"/>
        <v>500000</v>
      </c>
      <c r="AD500" s="160"/>
      <c r="AE500" s="160"/>
      <c r="AF500" s="157"/>
      <c r="AG500" s="157"/>
      <c r="AH500" s="159">
        <f>V500-Z500</f>
        <v>500000</v>
      </c>
      <c r="AI500" s="35">
        <f t="shared" si="367"/>
        <v>0</v>
      </c>
      <c r="AJ500" s="11">
        <f t="shared" si="368"/>
        <v>0</v>
      </c>
      <c r="AK500" s="11">
        <f t="shared" si="369"/>
        <v>0</v>
      </c>
      <c r="AL500" s="11">
        <f t="shared" si="370"/>
        <v>0</v>
      </c>
      <c r="AM500" s="76">
        <f t="shared" si="371"/>
        <v>500000</v>
      </c>
      <c r="AN500" s="51">
        <f t="shared" si="372"/>
        <v>500000</v>
      </c>
      <c r="AO500" s="36"/>
      <c r="AP500" s="9"/>
      <c r="AQ500" s="9"/>
      <c r="AR500" s="9"/>
      <c r="AS500" s="9"/>
      <c r="AT500" s="9"/>
      <c r="AU500" s="9"/>
      <c r="AV500" s="9"/>
      <c r="AW500" s="10"/>
      <c r="AY500" s="11"/>
    </row>
    <row r="501" spans="5:51" ht="60" customHeight="1" x14ac:dyDescent="0.2">
      <c r="E501" s="151">
        <f t="shared" si="373"/>
        <v>80325</v>
      </c>
      <c r="F501" s="170" t="s">
        <v>492</v>
      </c>
      <c r="G501" s="156"/>
      <c r="H501" s="157"/>
      <c r="I501" s="158"/>
      <c r="J501" s="159"/>
      <c r="K501" s="158"/>
      <c r="L501" s="159"/>
      <c r="M501" s="158"/>
      <c r="N501" s="159"/>
      <c r="O501" s="158"/>
      <c r="P501" s="159"/>
      <c r="Q501" s="165"/>
      <c r="R501" s="166"/>
      <c r="S501" s="156"/>
      <c r="T501" s="160"/>
      <c r="U501" s="164"/>
      <c r="V501" s="161">
        <v>500000</v>
      </c>
      <c r="W501" s="158">
        <v>0</v>
      </c>
      <c r="X501" s="160"/>
      <c r="Y501" s="160"/>
      <c r="Z501" s="160">
        <f>W501</f>
        <v>0</v>
      </c>
      <c r="AA501" s="160"/>
      <c r="AB501" s="159"/>
      <c r="AC501" s="158">
        <f t="shared" si="377"/>
        <v>500000</v>
      </c>
      <c r="AD501" s="160"/>
      <c r="AE501" s="160"/>
      <c r="AF501" s="157"/>
      <c r="AG501" s="157"/>
      <c r="AH501" s="159">
        <f>V501-Z501</f>
        <v>500000</v>
      </c>
      <c r="AI501" s="35">
        <f t="shared" si="367"/>
        <v>0</v>
      </c>
      <c r="AJ501" s="11">
        <f t="shared" si="368"/>
        <v>0</v>
      </c>
      <c r="AK501" s="11">
        <f t="shared" si="369"/>
        <v>0</v>
      </c>
      <c r="AL501" s="11">
        <f t="shared" si="370"/>
        <v>0</v>
      </c>
      <c r="AM501" s="76">
        <f t="shared" si="371"/>
        <v>500000</v>
      </c>
      <c r="AN501" s="51">
        <f t="shared" si="372"/>
        <v>500000</v>
      </c>
      <c r="AO501" s="36"/>
      <c r="AP501" s="9"/>
      <c r="AQ501" s="9"/>
      <c r="AR501" s="9"/>
      <c r="AS501" s="9"/>
      <c r="AT501" s="9"/>
      <c r="AU501" s="9"/>
      <c r="AV501" s="9"/>
      <c r="AW501" s="10"/>
      <c r="AY501" s="11"/>
    </row>
    <row r="502" spans="5:51" ht="60" customHeight="1" x14ac:dyDescent="0.2">
      <c r="E502" s="151">
        <f t="shared" si="373"/>
        <v>80326</v>
      </c>
      <c r="F502" s="170" t="s">
        <v>330</v>
      </c>
      <c r="G502" s="156">
        <v>1500000</v>
      </c>
      <c r="H502" s="157">
        <f>G502-803000</f>
        <v>697000</v>
      </c>
      <c r="I502" s="158">
        <v>1500000</v>
      </c>
      <c r="J502" s="159">
        <v>950464</v>
      </c>
      <c r="K502" s="158">
        <v>1606000</v>
      </c>
      <c r="L502" s="159">
        <f>30000+30000+30000+30000+30000+30000+30000+30000+30000+30000+90000+30000+30000+60000+30000+60000+90000+30000+60000+30000+30000+30000+30000+30000+30000+30000+30000+30000+30000+30000+1738+30000+30000+30000+30000+30000+30000+30000+30000+30000+30000+20100+90000+11484</f>
        <v>1533322</v>
      </c>
      <c r="M502" s="158">
        <v>1600000</v>
      </c>
      <c r="N502" s="159">
        <f>1600000-602000+500</f>
        <v>998500</v>
      </c>
      <c r="O502" s="158">
        <v>1500000</v>
      </c>
      <c r="P502" s="159">
        <f>O502-397000+500</f>
        <v>1103500</v>
      </c>
      <c r="Q502" s="165">
        <f t="shared" si="374"/>
        <v>-100000</v>
      </c>
      <c r="R502" s="166">
        <f t="shared" si="374"/>
        <v>105000</v>
      </c>
      <c r="S502" s="156">
        <v>1800000</v>
      </c>
      <c r="T502" s="160">
        <f>+S502</f>
        <v>1800000</v>
      </c>
      <c r="U502" s="164"/>
      <c r="V502" s="161">
        <v>1500000</v>
      </c>
      <c r="W502" s="158">
        <v>1500000</v>
      </c>
      <c r="X502" s="160">
        <f>W502</f>
        <v>1500000</v>
      </c>
      <c r="Y502" s="160"/>
      <c r="Z502" s="160"/>
      <c r="AA502" s="160"/>
      <c r="AB502" s="159"/>
      <c r="AC502" s="158">
        <f t="shared" si="377"/>
        <v>0</v>
      </c>
      <c r="AD502" s="160"/>
      <c r="AE502" s="160"/>
      <c r="AF502" s="157"/>
      <c r="AG502" s="157"/>
      <c r="AH502" s="159"/>
      <c r="AI502" s="35">
        <f t="shared" si="367"/>
        <v>1500000</v>
      </c>
      <c r="AJ502" s="11">
        <f t="shared" si="368"/>
        <v>0</v>
      </c>
      <c r="AK502" s="11">
        <f t="shared" si="369"/>
        <v>0</v>
      </c>
      <c r="AL502" s="11">
        <f t="shared" si="370"/>
        <v>0</v>
      </c>
      <c r="AM502" s="76">
        <f t="shared" si="371"/>
        <v>0</v>
      </c>
      <c r="AN502" s="51">
        <f t="shared" si="372"/>
        <v>0</v>
      </c>
      <c r="AO502" s="36"/>
      <c r="AP502" s="9"/>
      <c r="AQ502" s="9"/>
      <c r="AR502" s="9"/>
      <c r="AS502" s="9"/>
      <c r="AT502" s="9"/>
      <c r="AU502" s="9"/>
      <c r="AV502" s="9"/>
      <c r="AW502" s="10"/>
      <c r="AY502" s="11">
        <f>V502-W502-AC502</f>
        <v>0</v>
      </c>
    </row>
    <row r="503" spans="5:51" ht="60" customHeight="1" x14ac:dyDescent="0.2">
      <c r="E503" s="151">
        <f t="shared" si="373"/>
        <v>80327</v>
      </c>
      <c r="F503" s="170" t="s">
        <v>493</v>
      </c>
      <c r="G503" s="156"/>
      <c r="H503" s="157"/>
      <c r="I503" s="158"/>
      <c r="J503" s="159"/>
      <c r="K503" s="158"/>
      <c r="L503" s="159"/>
      <c r="M503" s="158"/>
      <c r="N503" s="159"/>
      <c r="O503" s="158"/>
      <c r="P503" s="159"/>
      <c r="Q503" s="165"/>
      <c r="R503" s="166"/>
      <c r="S503" s="156"/>
      <c r="T503" s="160"/>
      <c r="U503" s="164"/>
      <c r="V503" s="161">
        <v>1500000</v>
      </c>
      <c r="W503" s="158">
        <v>1500000</v>
      </c>
      <c r="X503" s="160"/>
      <c r="Y503" s="160"/>
      <c r="Z503" s="160"/>
      <c r="AA503" s="160">
        <f>W503</f>
        <v>1500000</v>
      </c>
      <c r="AB503" s="159"/>
      <c r="AC503" s="158">
        <f t="shared" si="377"/>
        <v>0</v>
      </c>
      <c r="AD503" s="160"/>
      <c r="AE503" s="160"/>
      <c r="AF503" s="157"/>
      <c r="AG503" s="157"/>
      <c r="AH503" s="159"/>
      <c r="AI503" s="35">
        <f t="shared" si="367"/>
        <v>0</v>
      </c>
      <c r="AJ503" s="11">
        <f t="shared" si="368"/>
        <v>0</v>
      </c>
      <c r="AK503" s="11">
        <f t="shared" si="369"/>
        <v>0</v>
      </c>
      <c r="AL503" s="11">
        <f t="shared" si="370"/>
        <v>1500000</v>
      </c>
      <c r="AM503" s="76">
        <f t="shared" si="371"/>
        <v>0</v>
      </c>
      <c r="AN503" s="51">
        <f t="shared" si="372"/>
        <v>1500000</v>
      </c>
      <c r="AO503" s="36"/>
      <c r="AP503" s="9"/>
      <c r="AQ503" s="9"/>
      <c r="AR503" s="9"/>
      <c r="AS503" s="9"/>
      <c r="AT503" s="9"/>
      <c r="AU503" s="9"/>
      <c r="AV503" s="9"/>
      <c r="AW503" s="10"/>
      <c r="AY503" s="11"/>
    </row>
    <row r="504" spans="5:51" ht="60" customHeight="1" x14ac:dyDescent="0.2">
      <c r="E504" s="151">
        <f t="shared" si="373"/>
        <v>80328</v>
      </c>
      <c r="F504" s="170" t="s">
        <v>329</v>
      </c>
      <c r="G504" s="156"/>
      <c r="H504" s="157"/>
      <c r="I504" s="158"/>
      <c r="J504" s="159"/>
      <c r="K504" s="158"/>
      <c r="L504" s="159"/>
      <c r="M504" s="158">
        <v>5840000</v>
      </c>
      <c r="N504" s="159">
        <f>5840000-2714000</f>
        <v>3126000</v>
      </c>
      <c r="O504" s="158">
        <v>7440000</v>
      </c>
      <c r="P504" s="159">
        <v>7499000</v>
      </c>
      <c r="Q504" s="165">
        <f t="shared" si="374"/>
        <v>1600000</v>
      </c>
      <c r="R504" s="166">
        <f t="shared" si="374"/>
        <v>4373000</v>
      </c>
      <c r="S504" s="156">
        <v>10000000</v>
      </c>
      <c r="T504" s="160">
        <v>3000000</v>
      </c>
      <c r="U504" s="164">
        <f>+S504-T504</f>
        <v>7000000</v>
      </c>
      <c r="V504" s="161">
        <v>7000000</v>
      </c>
      <c r="W504" s="158">
        <v>4000000</v>
      </c>
      <c r="X504" s="160">
        <v>1100000</v>
      </c>
      <c r="Y504" s="160"/>
      <c r="Z504" s="160"/>
      <c r="AA504" s="160"/>
      <c r="AB504" s="159">
        <f>W504-X504</f>
        <v>2900000</v>
      </c>
      <c r="AC504" s="158">
        <f t="shared" si="377"/>
        <v>3000000</v>
      </c>
      <c r="AD504" s="160"/>
      <c r="AE504" s="160"/>
      <c r="AF504" s="157"/>
      <c r="AG504" s="157"/>
      <c r="AH504" s="159">
        <f>AC504</f>
        <v>3000000</v>
      </c>
      <c r="AI504" s="35">
        <f t="shared" si="367"/>
        <v>1100000</v>
      </c>
      <c r="AJ504" s="11">
        <f t="shared" si="368"/>
        <v>0</v>
      </c>
      <c r="AK504" s="11">
        <f t="shared" si="369"/>
        <v>0</v>
      </c>
      <c r="AL504" s="11">
        <f t="shared" si="370"/>
        <v>0</v>
      </c>
      <c r="AM504" s="76">
        <f t="shared" si="371"/>
        <v>5900000</v>
      </c>
      <c r="AN504" s="51">
        <f t="shared" si="372"/>
        <v>5900000</v>
      </c>
      <c r="AO504" s="36"/>
      <c r="AP504" s="9"/>
      <c r="AQ504" s="9"/>
      <c r="AR504" s="9"/>
      <c r="AS504" s="9"/>
      <c r="AT504" s="9"/>
      <c r="AU504" s="9"/>
      <c r="AV504" s="9"/>
      <c r="AW504" s="10"/>
      <c r="AY504" s="11">
        <f>V504-W504-AC504</f>
        <v>0</v>
      </c>
    </row>
    <row r="505" spans="5:51" ht="60" customHeight="1" x14ac:dyDescent="0.2">
      <c r="E505" s="151">
        <f t="shared" si="373"/>
        <v>80329</v>
      </c>
      <c r="F505" s="170" t="s">
        <v>328</v>
      </c>
      <c r="G505" s="156"/>
      <c r="H505" s="157"/>
      <c r="I505" s="158"/>
      <c r="J505" s="159"/>
      <c r="K505" s="158"/>
      <c r="L505" s="159"/>
      <c r="M505" s="158"/>
      <c r="N505" s="159"/>
      <c r="O505" s="158">
        <v>500000</v>
      </c>
      <c r="P505" s="159">
        <v>500000</v>
      </c>
      <c r="Q505" s="165">
        <f t="shared" si="374"/>
        <v>500000</v>
      </c>
      <c r="R505" s="166">
        <f t="shared" si="374"/>
        <v>500000</v>
      </c>
      <c r="S505" s="156">
        <v>270000</v>
      </c>
      <c r="T505" s="160"/>
      <c r="U505" s="164">
        <f>+S505</f>
        <v>270000</v>
      </c>
      <c r="V505" s="161">
        <v>1000000</v>
      </c>
      <c r="W505" s="158">
        <v>500000</v>
      </c>
      <c r="X505" s="160"/>
      <c r="Y505" s="160"/>
      <c r="Z505" s="160"/>
      <c r="AA505" s="160">
        <f>W505</f>
        <v>500000</v>
      </c>
      <c r="AB505" s="159"/>
      <c r="AC505" s="158">
        <f t="shared" si="377"/>
        <v>500000</v>
      </c>
      <c r="AD505" s="160"/>
      <c r="AE505" s="160"/>
      <c r="AF505" s="157"/>
      <c r="AG505" s="157">
        <f>AC505</f>
        <v>500000</v>
      </c>
      <c r="AH505" s="159"/>
      <c r="AI505" s="35">
        <f t="shared" si="367"/>
        <v>0</v>
      </c>
      <c r="AJ505" s="11">
        <f t="shared" si="368"/>
        <v>0</v>
      </c>
      <c r="AK505" s="11">
        <f t="shared" si="369"/>
        <v>0</v>
      </c>
      <c r="AL505" s="11">
        <f t="shared" si="370"/>
        <v>1000000</v>
      </c>
      <c r="AM505" s="76">
        <f t="shared" si="371"/>
        <v>0</v>
      </c>
      <c r="AN505" s="51">
        <f t="shared" si="372"/>
        <v>1000000</v>
      </c>
      <c r="AO505" s="36"/>
      <c r="AP505" s="9"/>
      <c r="AQ505" s="9"/>
      <c r="AR505" s="9"/>
      <c r="AS505" s="9"/>
      <c r="AT505" s="9"/>
      <c r="AU505" s="9"/>
      <c r="AV505" s="9"/>
      <c r="AW505" s="10"/>
      <c r="AY505" s="11">
        <f>V505-W505-AC505</f>
        <v>0</v>
      </c>
    </row>
    <row r="506" spans="5:51" ht="60" customHeight="1" x14ac:dyDescent="0.2">
      <c r="E506" s="151">
        <f t="shared" si="373"/>
        <v>80330</v>
      </c>
      <c r="F506" s="170" t="s">
        <v>494</v>
      </c>
      <c r="G506" s="156"/>
      <c r="H506" s="157"/>
      <c r="I506" s="158"/>
      <c r="J506" s="159"/>
      <c r="K506" s="158"/>
      <c r="L506" s="159"/>
      <c r="M506" s="158"/>
      <c r="N506" s="159"/>
      <c r="O506" s="158"/>
      <c r="P506" s="159"/>
      <c r="Q506" s="165"/>
      <c r="R506" s="166"/>
      <c r="S506" s="156"/>
      <c r="T506" s="160"/>
      <c r="U506" s="164"/>
      <c r="V506" s="161">
        <v>1000000</v>
      </c>
      <c r="W506" s="158">
        <v>0</v>
      </c>
      <c r="X506" s="160"/>
      <c r="Y506" s="160">
        <f>W506</f>
        <v>0</v>
      </c>
      <c r="Z506" s="160"/>
      <c r="AA506" s="160"/>
      <c r="AB506" s="159"/>
      <c r="AC506" s="158">
        <f t="shared" si="377"/>
        <v>1000000</v>
      </c>
      <c r="AD506" s="160"/>
      <c r="AE506" s="160"/>
      <c r="AF506" s="157"/>
      <c r="AG506" s="157">
        <f>AC506</f>
        <v>1000000</v>
      </c>
      <c r="AH506" s="159"/>
      <c r="AI506" s="35">
        <f t="shared" si="367"/>
        <v>0</v>
      </c>
      <c r="AJ506" s="11">
        <f t="shared" si="368"/>
        <v>0</v>
      </c>
      <c r="AK506" s="11">
        <f t="shared" si="369"/>
        <v>0</v>
      </c>
      <c r="AL506" s="11">
        <f t="shared" si="370"/>
        <v>1000000</v>
      </c>
      <c r="AM506" s="76">
        <f t="shared" si="371"/>
        <v>0</v>
      </c>
      <c r="AN506" s="51">
        <f t="shared" si="372"/>
        <v>1000000</v>
      </c>
      <c r="AO506" s="36"/>
      <c r="AP506" s="9"/>
      <c r="AQ506" s="9"/>
      <c r="AR506" s="9"/>
      <c r="AS506" s="9"/>
      <c r="AT506" s="9"/>
      <c r="AU506" s="9"/>
      <c r="AV506" s="9"/>
      <c r="AW506" s="10"/>
      <c r="AY506" s="11"/>
    </row>
    <row r="507" spans="5:51" ht="60" customHeight="1" x14ac:dyDescent="0.2">
      <c r="E507" s="151">
        <f t="shared" si="373"/>
        <v>80331</v>
      </c>
      <c r="F507" s="170" t="s">
        <v>495</v>
      </c>
      <c r="G507" s="156"/>
      <c r="H507" s="157"/>
      <c r="I507" s="158"/>
      <c r="J507" s="159"/>
      <c r="K507" s="158"/>
      <c r="L507" s="159"/>
      <c r="M507" s="158"/>
      <c r="N507" s="159"/>
      <c r="O507" s="158"/>
      <c r="P507" s="159"/>
      <c r="Q507" s="165"/>
      <c r="R507" s="166"/>
      <c r="S507" s="156"/>
      <c r="T507" s="160"/>
      <c r="U507" s="164"/>
      <c r="V507" s="161">
        <v>1000000</v>
      </c>
      <c r="W507" s="158"/>
      <c r="X507" s="160">
        <f>W507</f>
        <v>0</v>
      </c>
      <c r="Y507" s="160"/>
      <c r="Z507" s="160"/>
      <c r="AA507" s="160"/>
      <c r="AB507" s="159"/>
      <c r="AC507" s="158">
        <f t="shared" si="377"/>
        <v>1000000</v>
      </c>
      <c r="AD507" s="160"/>
      <c r="AE507" s="160"/>
      <c r="AF507" s="157"/>
      <c r="AG507" s="157">
        <f>AC507</f>
        <v>1000000</v>
      </c>
      <c r="AH507" s="159"/>
      <c r="AI507" s="35">
        <f t="shared" si="367"/>
        <v>0</v>
      </c>
      <c r="AJ507" s="11">
        <f t="shared" si="368"/>
        <v>0</v>
      </c>
      <c r="AK507" s="11">
        <f t="shared" si="369"/>
        <v>0</v>
      </c>
      <c r="AL507" s="11">
        <f t="shared" si="370"/>
        <v>1000000</v>
      </c>
      <c r="AM507" s="76">
        <f t="shared" si="371"/>
        <v>0</v>
      </c>
      <c r="AN507" s="51">
        <f t="shared" si="372"/>
        <v>1000000</v>
      </c>
      <c r="AO507" s="36"/>
      <c r="AP507" s="9"/>
      <c r="AQ507" s="9"/>
      <c r="AR507" s="9"/>
      <c r="AS507" s="9"/>
      <c r="AT507" s="9"/>
      <c r="AU507" s="9"/>
      <c r="AV507" s="9"/>
      <c r="AW507" s="10"/>
      <c r="AY507" s="11"/>
    </row>
    <row r="508" spans="5:51" ht="60" customHeight="1" x14ac:dyDescent="0.2">
      <c r="E508" s="151">
        <f t="shared" si="373"/>
        <v>80332</v>
      </c>
      <c r="F508" s="170" t="s">
        <v>375</v>
      </c>
      <c r="G508" s="156"/>
      <c r="H508" s="157"/>
      <c r="I508" s="158"/>
      <c r="J508" s="159"/>
      <c r="K508" s="158"/>
      <c r="L508" s="159"/>
      <c r="M508" s="158"/>
      <c r="N508" s="159"/>
      <c r="O508" s="158">
        <v>2000000</v>
      </c>
      <c r="P508" s="159">
        <v>1000000</v>
      </c>
      <c r="Q508" s="165">
        <f t="shared" si="374"/>
        <v>2000000</v>
      </c>
      <c r="R508" s="166">
        <f t="shared" si="374"/>
        <v>1000000</v>
      </c>
      <c r="S508" s="156">
        <v>1000000</v>
      </c>
      <c r="T508" s="160"/>
      <c r="U508" s="157">
        <f>+S508</f>
        <v>1000000</v>
      </c>
      <c r="V508" s="161">
        <v>2000000</v>
      </c>
      <c r="W508" s="158">
        <v>2000000</v>
      </c>
      <c r="X508" s="160"/>
      <c r="Y508" s="160"/>
      <c r="Z508" s="160"/>
      <c r="AA508" s="160">
        <f>W508</f>
        <v>2000000</v>
      </c>
      <c r="AB508" s="159"/>
      <c r="AC508" s="158">
        <f t="shared" si="377"/>
        <v>0</v>
      </c>
      <c r="AD508" s="160"/>
      <c r="AE508" s="160"/>
      <c r="AF508" s="157"/>
      <c r="AG508" s="157"/>
      <c r="AH508" s="159"/>
      <c r="AI508" s="35">
        <f t="shared" si="367"/>
        <v>0</v>
      </c>
      <c r="AJ508" s="11">
        <f t="shared" si="368"/>
        <v>0</v>
      </c>
      <c r="AK508" s="11">
        <f t="shared" si="369"/>
        <v>0</v>
      </c>
      <c r="AL508" s="11">
        <f t="shared" si="370"/>
        <v>2000000</v>
      </c>
      <c r="AM508" s="76">
        <f t="shared" si="371"/>
        <v>0</v>
      </c>
      <c r="AN508" s="51">
        <f t="shared" si="372"/>
        <v>2000000</v>
      </c>
      <c r="AO508" s="36"/>
      <c r="AP508" s="9"/>
      <c r="AQ508" s="9"/>
      <c r="AR508" s="9"/>
      <c r="AS508" s="9"/>
      <c r="AT508" s="9"/>
      <c r="AU508" s="9"/>
      <c r="AV508" s="9"/>
      <c r="AW508" s="10"/>
      <c r="AY508" s="11">
        <f>V508-W508-AC508</f>
        <v>0</v>
      </c>
    </row>
    <row r="509" spans="5:51" ht="60" customHeight="1" x14ac:dyDescent="0.2">
      <c r="E509" s="151">
        <f t="shared" si="373"/>
        <v>80333</v>
      </c>
      <c r="F509" s="170" t="s">
        <v>496</v>
      </c>
      <c r="G509" s="156"/>
      <c r="H509" s="157"/>
      <c r="I509" s="158"/>
      <c r="J509" s="159"/>
      <c r="K509" s="158"/>
      <c r="L509" s="159"/>
      <c r="M509" s="158"/>
      <c r="N509" s="159"/>
      <c r="O509" s="158"/>
      <c r="P509" s="159"/>
      <c r="Q509" s="165"/>
      <c r="R509" s="166"/>
      <c r="S509" s="156"/>
      <c r="T509" s="160"/>
      <c r="U509" s="157"/>
      <c r="V509" s="161">
        <v>500000</v>
      </c>
      <c r="W509" s="158">
        <v>500000</v>
      </c>
      <c r="X509" s="160">
        <f>W509</f>
        <v>500000</v>
      </c>
      <c r="Y509" s="160"/>
      <c r="Z509" s="160"/>
      <c r="AA509" s="160"/>
      <c r="AB509" s="159"/>
      <c r="AC509" s="158">
        <f t="shared" si="377"/>
        <v>0</v>
      </c>
      <c r="AD509" s="160"/>
      <c r="AE509" s="160"/>
      <c r="AF509" s="157"/>
      <c r="AG509" s="157"/>
      <c r="AH509" s="159"/>
      <c r="AI509" s="35">
        <f t="shared" si="367"/>
        <v>500000</v>
      </c>
      <c r="AJ509" s="11">
        <f t="shared" si="368"/>
        <v>0</v>
      </c>
      <c r="AK509" s="11">
        <f t="shared" si="369"/>
        <v>0</v>
      </c>
      <c r="AL509" s="11">
        <f t="shared" si="370"/>
        <v>0</v>
      </c>
      <c r="AM509" s="76">
        <f t="shared" si="371"/>
        <v>0</v>
      </c>
      <c r="AN509" s="51">
        <f t="shared" si="372"/>
        <v>0</v>
      </c>
      <c r="AO509" s="36"/>
      <c r="AP509" s="9"/>
      <c r="AQ509" s="9"/>
      <c r="AR509" s="9"/>
      <c r="AS509" s="9"/>
      <c r="AT509" s="9"/>
      <c r="AU509" s="9"/>
      <c r="AV509" s="9"/>
      <c r="AW509" s="10"/>
      <c r="AY509" s="11"/>
    </row>
    <row r="510" spans="5:51" ht="60" customHeight="1" x14ac:dyDescent="0.2">
      <c r="E510" s="151">
        <f t="shared" si="373"/>
        <v>80334</v>
      </c>
      <c r="F510" s="170" t="s">
        <v>497</v>
      </c>
      <c r="G510" s="156"/>
      <c r="H510" s="157"/>
      <c r="I510" s="158"/>
      <c r="J510" s="159"/>
      <c r="K510" s="158"/>
      <c r="L510" s="159"/>
      <c r="M510" s="158"/>
      <c r="N510" s="159"/>
      <c r="O510" s="158"/>
      <c r="P510" s="159"/>
      <c r="Q510" s="165"/>
      <c r="R510" s="166"/>
      <c r="S510" s="156"/>
      <c r="T510" s="160"/>
      <c r="U510" s="157"/>
      <c r="V510" s="161">
        <v>800000</v>
      </c>
      <c r="W510" s="158">
        <v>800000</v>
      </c>
      <c r="X510" s="160">
        <f>W510</f>
        <v>800000</v>
      </c>
      <c r="Y510" s="160"/>
      <c r="Z510" s="160"/>
      <c r="AA510" s="160"/>
      <c r="AB510" s="159"/>
      <c r="AC510" s="158">
        <f t="shared" si="377"/>
        <v>0</v>
      </c>
      <c r="AD510" s="160"/>
      <c r="AE510" s="160"/>
      <c r="AF510" s="157"/>
      <c r="AG510" s="157"/>
      <c r="AH510" s="159"/>
      <c r="AI510" s="35">
        <f t="shared" si="367"/>
        <v>800000</v>
      </c>
      <c r="AJ510" s="11">
        <f t="shared" si="368"/>
        <v>0</v>
      </c>
      <c r="AK510" s="11">
        <f t="shared" si="369"/>
        <v>0</v>
      </c>
      <c r="AL510" s="11">
        <f t="shared" si="370"/>
        <v>0</v>
      </c>
      <c r="AM510" s="76">
        <f t="shared" si="371"/>
        <v>0</v>
      </c>
      <c r="AN510" s="51">
        <f t="shared" si="372"/>
        <v>0</v>
      </c>
      <c r="AO510" s="36"/>
      <c r="AP510" s="9"/>
      <c r="AQ510" s="9"/>
      <c r="AR510" s="9"/>
      <c r="AS510" s="9"/>
      <c r="AT510" s="9"/>
      <c r="AU510" s="9"/>
      <c r="AV510" s="9"/>
      <c r="AW510" s="10"/>
      <c r="AY510" s="11"/>
    </row>
    <row r="511" spans="5:51" ht="60" customHeight="1" x14ac:dyDescent="0.2">
      <c r="E511" s="151">
        <f t="shared" si="373"/>
        <v>80335</v>
      </c>
      <c r="F511" s="170" t="s">
        <v>498</v>
      </c>
      <c r="G511" s="156"/>
      <c r="H511" s="157"/>
      <c r="I511" s="158"/>
      <c r="J511" s="159"/>
      <c r="K511" s="158"/>
      <c r="L511" s="159"/>
      <c r="M511" s="158">
        <v>500000</v>
      </c>
      <c r="N511" s="159"/>
      <c r="O511" s="158"/>
      <c r="P511" s="159"/>
      <c r="Q511" s="165">
        <f t="shared" si="374"/>
        <v>-500000</v>
      </c>
      <c r="R511" s="166">
        <f t="shared" si="374"/>
        <v>0</v>
      </c>
      <c r="S511" s="156"/>
      <c r="T511" s="160"/>
      <c r="U511" s="164"/>
      <c r="V511" s="161">
        <v>5000000</v>
      </c>
      <c r="W511" s="158">
        <f>V511</f>
        <v>5000000</v>
      </c>
      <c r="X511" s="160"/>
      <c r="Y511" s="160"/>
      <c r="Z511" s="160"/>
      <c r="AA511" s="160"/>
      <c r="AB511" s="159">
        <f>W511</f>
        <v>5000000</v>
      </c>
      <c r="AC511" s="158">
        <f t="shared" si="377"/>
        <v>0</v>
      </c>
      <c r="AD511" s="160"/>
      <c r="AE511" s="160"/>
      <c r="AF511" s="157"/>
      <c r="AG511" s="157"/>
      <c r="AH511" s="159"/>
      <c r="AI511" s="35">
        <f t="shared" si="367"/>
        <v>0</v>
      </c>
      <c r="AJ511" s="11">
        <f t="shared" si="368"/>
        <v>0</v>
      </c>
      <c r="AK511" s="11">
        <f t="shared" si="369"/>
        <v>0</v>
      </c>
      <c r="AL511" s="11">
        <f t="shared" si="370"/>
        <v>0</v>
      </c>
      <c r="AM511" s="76">
        <f t="shared" si="371"/>
        <v>5000000</v>
      </c>
      <c r="AN511" s="51">
        <f t="shared" si="372"/>
        <v>5000000</v>
      </c>
      <c r="AO511" s="36"/>
      <c r="AP511" s="9"/>
      <c r="AQ511" s="9"/>
      <c r="AR511" s="9"/>
      <c r="AS511" s="9"/>
      <c r="AT511" s="9"/>
      <c r="AU511" s="9"/>
      <c r="AV511" s="9"/>
      <c r="AW511" s="10"/>
      <c r="AY511" s="11">
        <f>V511-W511-AC511</f>
        <v>0</v>
      </c>
    </row>
    <row r="512" spans="5:51" ht="60" customHeight="1" x14ac:dyDescent="0.2">
      <c r="E512" s="151">
        <f t="shared" si="373"/>
        <v>80336</v>
      </c>
      <c r="F512" s="170" t="s">
        <v>499</v>
      </c>
      <c r="G512" s="156"/>
      <c r="H512" s="157"/>
      <c r="I512" s="158"/>
      <c r="J512" s="159"/>
      <c r="K512" s="158"/>
      <c r="L512" s="159"/>
      <c r="M512" s="158"/>
      <c r="N512" s="159"/>
      <c r="O512" s="158"/>
      <c r="P512" s="159"/>
      <c r="Q512" s="165"/>
      <c r="R512" s="166"/>
      <c r="S512" s="156"/>
      <c r="T512" s="160"/>
      <c r="U512" s="164"/>
      <c r="V512" s="161">
        <v>3760000</v>
      </c>
      <c r="W512" s="158">
        <v>3760000</v>
      </c>
      <c r="X512" s="160">
        <f>W512</f>
        <v>3760000</v>
      </c>
      <c r="Y512" s="160"/>
      <c r="Z512" s="160">
        <f>W512-X512</f>
        <v>0</v>
      </c>
      <c r="AA512" s="160"/>
      <c r="AB512" s="159"/>
      <c r="AC512" s="158">
        <f t="shared" si="377"/>
        <v>0</v>
      </c>
      <c r="AD512" s="160"/>
      <c r="AE512" s="160"/>
      <c r="AF512" s="157"/>
      <c r="AG512" s="157"/>
      <c r="AH512" s="159"/>
      <c r="AI512" s="35">
        <f t="shared" si="367"/>
        <v>3760000</v>
      </c>
      <c r="AJ512" s="11">
        <f t="shared" si="368"/>
        <v>0</v>
      </c>
      <c r="AK512" s="11">
        <f t="shared" si="369"/>
        <v>0</v>
      </c>
      <c r="AL512" s="11">
        <f t="shared" si="370"/>
        <v>0</v>
      </c>
      <c r="AM512" s="76">
        <f t="shared" si="371"/>
        <v>0</v>
      </c>
      <c r="AN512" s="51">
        <f t="shared" si="372"/>
        <v>0</v>
      </c>
      <c r="AO512" s="36"/>
      <c r="AP512" s="9"/>
      <c r="AQ512" s="9"/>
      <c r="AR512" s="9"/>
      <c r="AS512" s="9"/>
      <c r="AT512" s="9"/>
      <c r="AU512" s="9"/>
      <c r="AV512" s="9"/>
      <c r="AW512" s="10"/>
      <c r="AY512" s="11"/>
    </row>
    <row r="513" spans="5:55" ht="60" customHeight="1" x14ac:dyDescent="0.2">
      <c r="E513" s="151">
        <f t="shared" si="373"/>
        <v>80337</v>
      </c>
      <c r="F513" s="170" t="s">
        <v>522</v>
      </c>
      <c r="G513" s="156"/>
      <c r="H513" s="157"/>
      <c r="I513" s="158"/>
      <c r="J513" s="159"/>
      <c r="K513" s="158"/>
      <c r="L513" s="159"/>
      <c r="M513" s="158"/>
      <c r="N513" s="159"/>
      <c r="O513" s="158"/>
      <c r="P513" s="159"/>
      <c r="Q513" s="165"/>
      <c r="R513" s="166"/>
      <c r="S513" s="156"/>
      <c r="T513" s="160"/>
      <c r="U513" s="164"/>
      <c r="V513" s="161">
        <v>8000000</v>
      </c>
      <c r="W513" s="158">
        <v>8000000</v>
      </c>
      <c r="X513" s="160">
        <f>W513</f>
        <v>8000000</v>
      </c>
      <c r="Y513" s="160"/>
      <c r="Z513" s="160">
        <f>W513-X513</f>
        <v>0</v>
      </c>
      <c r="AA513" s="160"/>
      <c r="AB513" s="159"/>
      <c r="AC513" s="158">
        <f t="shared" si="377"/>
        <v>0</v>
      </c>
      <c r="AD513" s="160"/>
      <c r="AE513" s="160"/>
      <c r="AF513" s="157"/>
      <c r="AG513" s="157"/>
      <c r="AH513" s="159"/>
      <c r="AI513" s="35">
        <f t="shared" si="367"/>
        <v>8000000</v>
      </c>
      <c r="AJ513" s="11">
        <f t="shared" si="368"/>
        <v>0</v>
      </c>
      <c r="AK513" s="11">
        <f t="shared" si="369"/>
        <v>0</v>
      </c>
      <c r="AL513" s="11">
        <f t="shared" si="370"/>
        <v>0</v>
      </c>
      <c r="AM513" s="76">
        <f t="shared" si="371"/>
        <v>0</v>
      </c>
      <c r="AN513" s="51">
        <f t="shared" si="372"/>
        <v>0</v>
      </c>
      <c r="AO513" s="36"/>
      <c r="AP513" s="9"/>
      <c r="AQ513" s="9"/>
      <c r="AR513" s="9"/>
      <c r="AS513" s="9"/>
      <c r="AT513" s="9"/>
      <c r="AU513" s="9"/>
      <c r="AV513" s="9"/>
      <c r="AW513" s="10"/>
      <c r="AY513" s="11"/>
    </row>
    <row r="514" spans="5:55" ht="60" customHeight="1" x14ac:dyDescent="0.2">
      <c r="E514" s="151">
        <f t="shared" si="373"/>
        <v>80338</v>
      </c>
      <c r="F514" s="170" t="s">
        <v>500</v>
      </c>
      <c r="G514" s="156"/>
      <c r="H514" s="157"/>
      <c r="I514" s="158"/>
      <c r="J514" s="159"/>
      <c r="K514" s="158"/>
      <c r="L514" s="159"/>
      <c r="M514" s="158"/>
      <c r="N514" s="159"/>
      <c r="O514" s="158"/>
      <c r="P514" s="159"/>
      <c r="Q514" s="165"/>
      <c r="R514" s="166"/>
      <c r="S514" s="156"/>
      <c r="T514" s="160"/>
      <c r="U514" s="164"/>
      <c r="V514" s="161">
        <v>15600000</v>
      </c>
      <c r="W514" s="158">
        <v>15600000</v>
      </c>
      <c r="X514" s="160">
        <f>W514</f>
        <v>15600000</v>
      </c>
      <c r="Y514" s="160"/>
      <c r="Z514" s="160">
        <f>W514-X514</f>
        <v>0</v>
      </c>
      <c r="AA514" s="160"/>
      <c r="AB514" s="159"/>
      <c r="AC514" s="158">
        <f t="shared" si="377"/>
        <v>0</v>
      </c>
      <c r="AD514" s="160"/>
      <c r="AE514" s="160"/>
      <c r="AF514" s="157"/>
      <c r="AG514" s="157"/>
      <c r="AH514" s="159"/>
      <c r="AI514" s="35">
        <f t="shared" si="367"/>
        <v>15600000</v>
      </c>
      <c r="AJ514" s="11">
        <f t="shared" si="368"/>
        <v>0</v>
      </c>
      <c r="AK514" s="11">
        <f t="shared" si="369"/>
        <v>0</v>
      </c>
      <c r="AL514" s="11">
        <f t="shared" si="370"/>
        <v>0</v>
      </c>
      <c r="AM514" s="76">
        <f t="shared" si="371"/>
        <v>0</v>
      </c>
      <c r="AN514" s="51">
        <f t="shared" si="372"/>
        <v>0</v>
      </c>
      <c r="AO514" s="36"/>
      <c r="AP514" s="9"/>
      <c r="AQ514" s="9"/>
      <c r="AR514" s="9"/>
      <c r="AS514" s="9"/>
      <c r="AT514" s="9"/>
      <c r="AU514" s="9"/>
      <c r="AV514" s="9"/>
      <c r="AW514" s="10"/>
      <c r="AY514" s="11"/>
    </row>
    <row r="515" spans="5:55" ht="60" customHeight="1" x14ac:dyDescent="0.2">
      <c r="E515" s="151">
        <f t="shared" si="373"/>
        <v>80339</v>
      </c>
      <c r="F515" s="170" t="s">
        <v>523</v>
      </c>
      <c r="G515" s="156"/>
      <c r="H515" s="157"/>
      <c r="I515" s="158"/>
      <c r="J515" s="159"/>
      <c r="K515" s="158"/>
      <c r="L515" s="159"/>
      <c r="M515" s="158"/>
      <c r="N515" s="159"/>
      <c r="O515" s="158"/>
      <c r="P515" s="159"/>
      <c r="Q515" s="165"/>
      <c r="R515" s="166"/>
      <c r="S515" s="156"/>
      <c r="T515" s="160"/>
      <c r="U515" s="164"/>
      <c r="V515" s="161">
        <v>3000000</v>
      </c>
      <c r="W515" s="158">
        <v>3000000</v>
      </c>
      <c r="X515" s="160">
        <f>W515</f>
        <v>3000000</v>
      </c>
      <c r="Y515" s="160"/>
      <c r="Z515" s="160">
        <f>W515-X515</f>
        <v>0</v>
      </c>
      <c r="AA515" s="160"/>
      <c r="AB515" s="159"/>
      <c r="AC515" s="158">
        <f t="shared" si="377"/>
        <v>0</v>
      </c>
      <c r="AD515" s="160"/>
      <c r="AE515" s="160"/>
      <c r="AF515" s="157"/>
      <c r="AG515" s="157"/>
      <c r="AH515" s="159"/>
      <c r="AI515" s="35">
        <f t="shared" si="367"/>
        <v>3000000</v>
      </c>
      <c r="AJ515" s="11">
        <f t="shared" si="368"/>
        <v>0</v>
      </c>
      <c r="AK515" s="11">
        <f t="shared" si="369"/>
        <v>0</v>
      </c>
      <c r="AL515" s="11">
        <f t="shared" si="370"/>
        <v>0</v>
      </c>
      <c r="AM515" s="76">
        <f t="shared" si="371"/>
        <v>0</v>
      </c>
      <c r="AN515" s="51">
        <f t="shared" si="372"/>
        <v>0</v>
      </c>
      <c r="AO515" s="36"/>
      <c r="AP515" s="9"/>
      <c r="AQ515" s="9"/>
      <c r="AR515" s="9"/>
      <c r="AS515" s="9"/>
      <c r="AT515" s="9"/>
      <c r="AU515" s="9"/>
      <c r="AV515" s="9"/>
      <c r="AW515" s="10"/>
      <c r="AY515" s="11"/>
    </row>
    <row r="516" spans="5:55" ht="60" customHeight="1" x14ac:dyDescent="0.2">
      <c r="E516" s="151">
        <f t="shared" si="373"/>
        <v>80340</v>
      </c>
      <c r="F516" s="170" t="s">
        <v>524</v>
      </c>
      <c r="G516" s="156"/>
      <c r="H516" s="157"/>
      <c r="I516" s="158"/>
      <c r="J516" s="159"/>
      <c r="K516" s="158"/>
      <c r="L516" s="159"/>
      <c r="M516" s="158"/>
      <c r="N516" s="159"/>
      <c r="O516" s="158"/>
      <c r="P516" s="159"/>
      <c r="Q516" s="165"/>
      <c r="R516" s="166"/>
      <c r="S516" s="156"/>
      <c r="T516" s="160"/>
      <c r="U516" s="164"/>
      <c r="V516" s="161">
        <v>1428000</v>
      </c>
      <c r="W516" s="158">
        <v>1428000</v>
      </c>
      <c r="X516" s="160">
        <f>W516</f>
        <v>1428000</v>
      </c>
      <c r="Y516" s="160"/>
      <c r="Z516" s="160">
        <f>W516-X516</f>
        <v>0</v>
      </c>
      <c r="AA516" s="160"/>
      <c r="AB516" s="159"/>
      <c r="AC516" s="158">
        <f t="shared" si="377"/>
        <v>0</v>
      </c>
      <c r="AD516" s="160"/>
      <c r="AE516" s="160"/>
      <c r="AF516" s="157"/>
      <c r="AG516" s="157"/>
      <c r="AH516" s="159"/>
      <c r="AI516" s="35">
        <f t="shared" si="367"/>
        <v>1428000</v>
      </c>
      <c r="AJ516" s="11">
        <f t="shared" si="368"/>
        <v>0</v>
      </c>
      <c r="AK516" s="11">
        <f t="shared" si="369"/>
        <v>0</v>
      </c>
      <c r="AL516" s="11">
        <f t="shared" si="370"/>
        <v>0</v>
      </c>
      <c r="AM516" s="76">
        <f t="shared" si="371"/>
        <v>0</v>
      </c>
      <c r="AN516" s="51">
        <f t="shared" si="372"/>
        <v>0</v>
      </c>
      <c r="AO516" s="36"/>
      <c r="AP516" s="9"/>
      <c r="AQ516" s="9"/>
      <c r="AR516" s="9"/>
      <c r="AS516" s="9"/>
      <c r="AT516" s="9"/>
      <c r="AU516" s="9"/>
      <c r="AV516" s="9"/>
      <c r="AW516" s="10"/>
      <c r="AY516" s="11"/>
    </row>
    <row r="517" spans="5:55" ht="60" customHeight="1" x14ac:dyDescent="0.2">
      <c r="E517" s="149"/>
      <c r="F517" s="127" t="s">
        <v>246</v>
      </c>
      <c r="G517" s="118">
        <f t="shared" ref="G517:AN517" si="378">SUM(G477:G516)</f>
        <v>1500000</v>
      </c>
      <c r="H517" s="116">
        <f t="shared" si="378"/>
        <v>697000</v>
      </c>
      <c r="I517" s="115">
        <f t="shared" si="378"/>
        <v>1950000</v>
      </c>
      <c r="J517" s="117">
        <f t="shared" si="378"/>
        <v>950464</v>
      </c>
      <c r="K517" s="115">
        <f t="shared" si="378"/>
        <v>1606000</v>
      </c>
      <c r="L517" s="117">
        <f t="shared" si="378"/>
        <v>1533322</v>
      </c>
      <c r="M517" s="115">
        <f t="shared" si="378"/>
        <v>8125000</v>
      </c>
      <c r="N517" s="117">
        <f t="shared" si="378"/>
        <v>4309500</v>
      </c>
      <c r="O517" s="115">
        <f t="shared" si="378"/>
        <v>59460000</v>
      </c>
      <c r="P517" s="117">
        <f t="shared" si="378"/>
        <v>11573750</v>
      </c>
      <c r="Q517" s="115">
        <f t="shared" si="378"/>
        <v>51335000</v>
      </c>
      <c r="R517" s="117">
        <f t="shared" si="378"/>
        <v>7264250</v>
      </c>
      <c r="S517" s="118">
        <f t="shared" si="378"/>
        <v>15005000</v>
      </c>
      <c r="T517" s="120">
        <f t="shared" si="378"/>
        <v>5990000</v>
      </c>
      <c r="U517" s="116">
        <f t="shared" si="378"/>
        <v>9015000</v>
      </c>
      <c r="V517" s="119">
        <f t="shared" si="378"/>
        <v>204861000</v>
      </c>
      <c r="W517" s="115">
        <f t="shared" ref="W517:AM517" si="379">SUM(W477:W516)</f>
        <v>136261000</v>
      </c>
      <c r="X517" s="120">
        <f t="shared" si="379"/>
        <v>106818000</v>
      </c>
      <c r="Y517" s="120">
        <f t="shared" si="379"/>
        <v>0</v>
      </c>
      <c r="Z517" s="120">
        <f t="shared" si="379"/>
        <v>0</v>
      </c>
      <c r="AA517" s="120">
        <f t="shared" si="379"/>
        <v>4000000</v>
      </c>
      <c r="AB517" s="117">
        <f t="shared" si="379"/>
        <v>25443000</v>
      </c>
      <c r="AC517" s="115">
        <f t="shared" si="379"/>
        <v>68600000</v>
      </c>
      <c r="AD517" s="120">
        <f t="shared" si="379"/>
        <v>26020000</v>
      </c>
      <c r="AE517" s="120">
        <f t="shared" si="379"/>
        <v>0</v>
      </c>
      <c r="AF517" s="116">
        <f t="shared" si="379"/>
        <v>0</v>
      </c>
      <c r="AG517" s="116">
        <f t="shared" si="379"/>
        <v>2500000</v>
      </c>
      <c r="AH517" s="117">
        <f t="shared" si="379"/>
        <v>40080000</v>
      </c>
      <c r="AI517" s="47">
        <f t="shared" si="379"/>
        <v>132838000</v>
      </c>
      <c r="AJ517" s="10">
        <f t="shared" si="379"/>
        <v>0</v>
      </c>
      <c r="AK517" s="10">
        <f t="shared" si="379"/>
        <v>0</v>
      </c>
      <c r="AL517" s="10">
        <f t="shared" si="379"/>
        <v>6500000</v>
      </c>
      <c r="AM517" s="48">
        <f t="shared" si="379"/>
        <v>65523000</v>
      </c>
      <c r="AN517" s="52">
        <f t="shared" si="378"/>
        <v>72023000</v>
      </c>
      <c r="AO517" s="39">
        <f t="shared" ref="AO517:AV517" si="380">SUM(AO511:AO516)</f>
        <v>0</v>
      </c>
      <c r="AP517" s="10">
        <f t="shared" si="380"/>
        <v>0</v>
      </c>
      <c r="AQ517" s="10">
        <f t="shared" si="380"/>
        <v>0</v>
      </c>
      <c r="AR517" s="10">
        <f t="shared" si="380"/>
        <v>0</v>
      </c>
      <c r="AS517" s="10">
        <f t="shared" si="380"/>
        <v>0</v>
      </c>
      <c r="AT517" s="10">
        <f t="shared" si="380"/>
        <v>0</v>
      </c>
      <c r="AU517" s="10">
        <f t="shared" si="380"/>
        <v>0</v>
      </c>
      <c r="AV517" s="10">
        <f t="shared" si="380"/>
        <v>0</v>
      </c>
      <c r="AW517" s="10">
        <f>AP517-AQ517-AV517</f>
        <v>0</v>
      </c>
      <c r="AY517" s="11">
        <f t="shared" ref="AY517:AY525" si="381">V517-W517-AC517</f>
        <v>0</v>
      </c>
      <c r="BC517" s="61"/>
    </row>
    <row r="518" spans="5:55" ht="60" customHeight="1" x14ac:dyDescent="0.2">
      <c r="E518" s="150"/>
      <c r="F518" s="127" t="s">
        <v>247</v>
      </c>
      <c r="G518" s="118">
        <f t="shared" ref="G518:AN518" si="382">+G517+G475+G469</f>
        <v>254500000</v>
      </c>
      <c r="H518" s="116">
        <f t="shared" si="382"/>
        <v>31712000</v>
      </c>
      <c r="I518" s="115">
        <f t="shared" si="382"/>
        <v>225950000</v>
      </c>
      <c r="J518" s="117">
        <f t="shared" si="382"/>
        <v>25839832</v>
      </c>
      <c r="K518" s="115">
        <f t="shared" si="382"/>
        <v>270406000</v>
      </c>
      <c r="L518" s="117">
        <f t="shared" si="382"/>
        <v>16863322</v>
      </c>
      <c r="M518" s="115">
        <f t="shared" si="382"/>
        <v>414425000</v>
      </c>
      <c r="N518" s="117">
        <f t="shared" si="382"/>
        <v>57075500</v>
      </c>
      <c r="O518" s="115">
        <f t="shared" si="382"/>
        <v>422860000</v>
      </c>
      <c r="P518" s="117">
        <f t="shared" si="382"/>
        <v>48679750</v>
      </c>
      <c r="Q518" s="115">
        <f t="shared" si="382"/>
        <v>8435000</v>
      </c>
      <c r="R518" s="117">
        <f t="shared" si="382"/>
        <v>-8395750</v>
      </c>
      <c r="S518" s="118">
        <f t="shared" si="382"/>
        <v>15605000</v>
      </c>
      <c r="T518" s="120">
        <f t="shared" si="382"/>
        <v>6590000</v>
      </c>
      <c r="U518" s="116">
        <f t="shared" si="382"/>
        <v>9015000</v>
      </c>
      <c r="V518" s="119">
        <f t="shared" si="382"/>
        <v>628261000</v>
      </c>
      <c r="W518" s="115">
        <f t="shared" ref="W518:AM518" si="383">+W517+W475+W469</f>
        <v>499861000</v>
      </c>
      <c r="X518" s="120">
        <f t="shared" si="383"/>
        <v>459078000</v>
      </c>
      <c r="Y518" s="120">
        <f t="shared" si="383"/>
        <v>11340000</v>
      </c>
      <c r="Z518" s="120">
        <f t="shared" si="383"/>
        <v>0</v>
      </c>
      <c r="AA518" s="120">
        <f t="shared" si="383"/>
        <v>4000000</v>
      </c>
      <c r="AB518" s="117">
        <f t="shared" si="383"/>
        <v>25443000</v>
      </c>
      <c r="AC518" s="115">
        <f t="shared" si="383"/>
        <v>128400000</v>
      </c>
      <c r="AD518" s="120">
        <f t="shared" si="383"/>
        <v>77375000</v>
      </c>
      <c r="AE518" s="120">
        <f t="shared" si="383"/>
        <v>8445000</v>
      </c>
      <c r="AF518" s="116">
        <f t="shared" si="383"/>
        <v>0</v>
      </c>
      <c r="AG518" s="116">
        <f t="shared" si="383"/>
        <v>2500000</v>
      </c>
      <c r="AH518" s="117">
        <f t="shared" si="383"/>
        <v>40080000</v>
      </c>
      <c r="AI518" s="47">
        <f t="shared" si="383"/>
        <v>536453000</v>
      </c>
      <c r="AJ518" s="10">
        <f t="shared" si="383"/>
        <v>19785000</v>
      </c>
      <c r="AK518" s="10">
        <f t="shared" si="383"/>
        <v>0</v>
      </c>
      <c r="AL518" s="10">
        <f t="shared" si="383"/>
        <v>6500000</v>
      </c>
      <c r="AM518" s="48">
        <f t="shared" si="383"/>
        <v>65523000</v>
      </c>
      <c r="AN518" s="52">
        <f t="shared" si="382"/>
        <v>91808000</v>
      </c>
      <c r="AO518" s="39" t="e">
        <f>#REF!+AO517+AO475+AO469</f>
        <v>#REF!</v>
      </c>
      <c r="AP518" s="10" t="e">
        <f>#REF!+AP517+AP475+AP469</f>
        <v>#REF!</v>
      </c>
      <c r="AQ518" s="10" t="e">
        <f>#REF!+AQ517+AQ475+AQ469</f>
        <v>#REF!</v>
      </c>
      <c r="AR518" s="10" t="e">
        <f>#REF!+AR517+AR475+AR469</f>
        <v>#REF!</v>
      </c>
      <c r="AS518" s="10" t="e">
        <f>#REF!+AS517+AS475+AS469</f>
        <v>#REF!</v>
      </c>
      <c r="AT518" s="10" t="e">
        <f>#REF!+AT517+AT475+AT469</f>
        <v>#REF!</v>
      </c>
      <c r="AU518" s="10" t="e">
        <f>#REF!+AU517+AU475+AU469</f>
        <v>#REF!</v>
      </c>
      <c r="AV518" s="10" t="e">
        <f>#REF!+AV517+AV475+AV469</f>
        <v>#REF!</v>
      </c>
      <c r="AW518" s="10" t="e">
        <f t="shared" ref="AW518:AW529" si="384">AP518-AQ518-AV518</f>
        <v>#REF!</v>
      </c>
      <c r="AY518" s="11">
        <f t="shared" si="381"/>
        <v>0</v>
      </c>
    </row>
    <row r="519" spans="5:55" ht="60" customHeight="1" x14ac:dyDescent="0.2">
      <c r="E519" s="151"/>
      <c r="F519" s="155" t="s">
        <v>248</v>
      </c>
      <c r="G519" s="156"/>
      <c r="H519" s="157"/>
      <c r="I519" s="158"/>
      <c r="J519" s="159"/>
      <c r="K519" s="158"/>
      <c r="L519" s="159"/>
      <c r="M519" s="158"/>
      <c r="N519" s="159"/>
      <c r="O519" s="158"/>
      <c r="P519" s="159"/>
      <c r="Q519" s="158"/>
      <c r="R519" s="159"/>
      <c r="S519" s="156"/>
      <c r="T519" s="160"/>
      <c r="U519" s="157"/>
      <c r="V519" s="161"/>
      <c r="W519" s="158"/>
      <c r="X519" s="160"/>
      <c r="Y519" s="160"/>
      <c r="Z519" s="160"/>
      <c r="AA519" s="160"/>
      <c r="AB519" s="159"/>
      <c r="AC519" s="158"/>
      <c r="AD519" s="160"/>
      <c r="AE519" s="160"/>
      <c r="AF519" s="157"/>
      <c r="AG519" s="157"/>
      <c r="AH519" s="159"/>
      <c r="AI519" s="45"/>
      <c r="AJ519" s="9"/>
      <c r="AK519" s="9"/>
      <c r="AL519" s="9"/>
      <c r="AM519" s="46"/>
      <c r="AN519" s="50"/>
      <c r="AO519" s="36"/>
      <c r="AP519" s="9"/>
      <c r="AQ519" s="9"/>
      <c r="AR519" s="9"/>
      <c r="AS519" s="9"/>
      <c r="AT519" s="9"/>
      <c r="AU519" s="9"/>
      <c r="AV519" s="9"/>
      <c r="AW519" s="10">
        <f t="shared" si="384"/>
        <v>0</v>
      </c>
      <c r="AY519" s="11">
        <f t="shared" si="381"/>
        <v>0</v>
      </c>
    </row>
    <row r="520" spans="5:55" s="27" customFormat="1" ht="60" customHeight="1" x14ac:dyDescent="0.2">
      <c r="E520" s="151">
        <v>90100</v>
      </c>
      <c r="F520" s="155" t="s">
        <v>249</v>
      </c>
      <c r="G520" s="156"/>
      <c r="H520" s="157"/>
      <c r="I520" s="158"/>
      <c r="J520" s="159"/>
      <c r="K520" s="158"/>
      <c r="L520" s="159"/>
      <c r="M520" s="158"/>
      <c r="N520" s="159"/>
      <c r="O520" s="158"/>
      <c r="P520" s="159"/>
      <c r="Q520" s="158"/>
      <c r="R520" s="159"/>
      <c r="S520" s="156"/>
      <c r="T520" s="160"/>
      <c r="U520" s="157"/>
      <c r="V520" s="161"/>
      <c r="W520" s="158"/>
      <c r="X520" s="160"/>
      <c r="Y520" s="160"/>
      <c r="Z520" s="160"/>
      <c r="AA520" s="160"/>
      <c r="AB520" s="159"/>
      <c r="AC520" s="158"/>
      <c r="AD520" s="160"/>
      <c r="AE520" s="160"/>
      <c r="AF520" s="157"/>
      <c r="AG520" s="157"/>
      <c r="AH520" s="159"/>
      <c r="AI520" s="45"/>
      <c r="AJ520" s="9"/>
      <c r="AK520" s="9"/>
      <c r="AL520" s="9"/>
      <c r="AM520" s="46"/>
      <c r="AN520" s="50"/>
      <c r="AO520" s="36"/>
      <c r="AP520" s="9"/>
      <c r="AQ520" s="9"/>
      <c r="AR520" s="9"/>
      <c r="AS520" s="9"/>
      <c r="AT520" s="9"/>
      <c r="AU520" s="9"/>
      <c r="AV520" s="9"/>
      <c r="AW520" s="10">
        <f t="shared" si="384"/>
        <v>0</v>
      </c>
      <c r="AY520" s="11">
        <f t="shared" si="381"/>
        <v>0</v>
      </c>
    </row>
    <row r="521" spans="5:55" s="27" customFormat="1" ht="60" customHeight="1" x14ac:dyDescent="0.2">
      <c r="E521" s="151">
        <f>+E520+1</f>
        <v>90101</v>
      </c>
      <c r="F521" s="170" t="s">
        <v>250</v>
      </c>
      <c r="G521" s="156">
        <v>4950000</v>
      </c>
      <c r="H521" s="157">
        <v>4945518</v>
      </c>
      <c r="I521" s="158">
        <v>4350000</v>
      </c>
      <c r="J521" s="159">
        <v>4367565</v>
      </c>
      <c r="K521" s="158">
        <v>3901000</v>
      </c>
      <c r="L521" s="159">
        <v>3821552</v>
      </c>
      <c r="M521" s="158">
        <v>5000000</v>
      </c>
      <c r="N521" s="159">
        <f>5000000-96000+424</f>
        <v>4904424</v>
      </c>
      <c r="O521" s="158">
        <v>9350000</v>
      </c>
      <c r="P521" s="159">
        <f>O521-2945000+318</f>
        <v>6405318</v>
      </c>
      <c r="Q521" s="165">
        <f>O521-M521</f>
        <v>4350000</v>
      </c>
      <c r="R521" s="166">
        <f>P521-N521</f>
        <v>1500894</v>
      </c>
      <c r="S521" s="156">
        <v>6864000</v>
      </c>
      <c r="T521" s="160"/>
      <c r="U521" s="164">
        <f>S521</f>
        <v>6864000</v>
      </c>
      <c r="V521" s="161">
        <v>14200000</v>
      </c>
      <c r="W521" s="158">
        <v>5000000</v>
      </c>
      <c r="X521" s="160"/>
      <c r="Y521" s="160"/>
      <c r="Z521" s="160"/>
      <c r="AA521" s="160">
        <f>W521</f>
        <v>5000000</v>
      </c>
      <c r="AB521" s="159"/>
      <c r="AC521" s="158">
        <f>V521-W521</f>
        <v>9200000</v>
      </c>
      <c r="AD521" s="160"/>
      <c r="AE521" s="160"/>
      <c r="AF521" s="157"/>
      <c r="AG521" s="157">
        <f>AC521</f>
        <v>9200000</v>
      </c>
      <c r="AH521" s="159"/>
      <c r="AI521" s="35">
        <f t="shared" ref="AI521:AM525" si="385">AD521+X521</f>
        <v>0</v>
      </c>
      <c r="AJ521" s="11">
        <f t="shared" si="385"/>
        <v>0</v>
      </c>
      <c r="AK521" s="11">
        <f t="shared" si="385"/>
        <v>0</v>
      </c>
      <c r="AL521" s="11">
        <f t="shared" si="385"/>
        <v>14200000</v>
      </c>
      <c r="AM521" s="76">
        <f t="shared" si="385"/>
        <v>0</v>
      </c>
      <c r="AN521" s="51">
        <f>SUM(AJ521:AM521)</f>
        <v>14200000</v>
      </c>
      <c r="AO521" s="36"/>
      <c r="AP521" s="9"/>
      <c r="AQ521" s="9"/>
      <c r="AR521" s="9"/>
      <c r="AS521" s="9"/>
      <c r="AT521" s="9"/>
      <c r="AU521" s="9"/>
      <c r="AV521" s="9">
        <f>AU521+AT521+AS521+AR521</f>
        <v>0</v>
      </c>
      <c r="AW521" s="10">
        <f t="shared" si="384"/>
        <v>0</v>
      </c>
      <c r="AY521" s="11">
        <f t="shared" si="381"/>
        <v>0</v>
      </c>
    </row>
    <row r="522" spans="5:55" s="27" customFormat="1" ht="60" customHeight="1" x14ac:dyDescent="0.2">
      <c r="E522" s="151">
        <f>+E521+1</f>
        <v>90102</v>
      </c>
      <c r="F522" s="170" t="s">
        <v>251</v>
      </c>
      <c r="G522" s="156">
        <v>250000</v>
      </c>
      <c r="H522" s="157">
        <f>G522</f>
        <v>250000</v>
      </c>
      <c r="I522" s="158">
        <v>250000</v>
      </c>
      <c r="J522" s="159">
        <f>I522</f>
        <v>250000</v>
      </c>
      <c r="K522" s="158">
        <v>250000</v>
      </c>
      <c r="L522" s="159">
        <v>250000</v>
      </c>
      <c r="M522" s="158">
        <v>500000</v>
      </c>
      <c r="N522" s="159">
        <v>500000</v>
      </c>
      <c r="O522" s="158">
        <v>500000</v>
      </c>
      <c r="P522" s="159"/>
      <c r="Q522" s="165">
        <f t="shared" ref="Q522:R525" si="386">O522-M522</f>
        <v>0</v>
      </c>
      <c r="R522" s="166">
        <f t="shared" si="386"/>
        <v>-500000</v>
      </c>
      <c r="S522" s="156">
        <v>384000</v>
      </c>
      <c r="T522" s="160"/>
      <c r="U522" s="164">
        <f>S522</f>
        <v>384000</v>
      </c>
      <c r="V522" s="161">
        <v>500000</v>
      </c>
      <c r="W522" s="158">
        <v>500000</v>
      </c>
      <c r="X522" s="160"/>
      <c r="Y522" s="160"/>
      <c r="Z522" s="160"/>
      <c r="AA522" s="160">
        <f>W522</f>
        <v>500000</v>
      </c>
      <c r="AB522" s="159"/>
      <c r="AC522" s="158">
        <f>V522-W522</f>
        <v>0</v>
      </c>
      <c r="AD522" s="160"/>
      <c r="AE522" s="160"/>
      <c r="AF522" s="157"/>
      <c r="AG522" s="157"/>
      <c r="AH522" s="159"/>
      <c r="AI522" s="35">
        <f t="shared" si="385"/>
        <v>0</v>
      </c>
      <c r="AJ522" s="11">
        <f t="shared" si="385"/>
        <v>0</v>
      </c>
      <c r="AK522" s="11">
        <f t="shared" si="385"/>
        <v>0</v>
      </c>
      <c r="AL522" s="11">
        <f t="shared" si="385"/>
        <v>500000</v>
      </c>
      <c r="AM522" s="76">
        <f t="shared" si="385"/>
        <v>0</v>
      </c>
      <c r="AN522" s="51">
        <f>SUM(AJ522:AM522)</f>
        <v>500000</v>
      </c>
      <c r="AO522" s="36"/>
      <c r="AP522" s="9"/>
      <c r="AQ522" s="9"/>
      <c r="AR522" s="9"/>
      <c r="AS522" s="9"/>
      <c r="AT522" s="9"/>
      <c r="AU522" s="9"/>
      <c r="AV522" s="9">
        <f>AU522+AT522+AS522+AR522</f>
        <v>0</v>
      </c>
      <c r="AW522" s="10">
        <f t="shared" si="384"/>
        <v>0</v>
      </c>
      <c r="AY522" s="11">
        <f t="shared" si="381"/>
        <v>0</v>
      </c>
    </row>
    <row r="523" spans="5:55" s="27" customFormat="1" ht="60" customHeight="1" x14ac:dyDescent="0.2">
      <c r="E523" s="151">
        <f>+E522+1</f>
        <v>90103</v>
      </c>
      <c r="F523" s="170" t="s">
        <v>252</v>
      </c>
      <c r="G523" s="156">
        <v>680000</v>
      </c>
      <c r="H523" s="157">
        <f>G523</f>
        <v>680000</v>
      </c>
      <c r="I523" s="158">
        <v>300000</v>
      </c>
      <c r="J523" s="159">
        <f>I523</f>
        <v>300000</v>
      </c>
      <c r="K523" s="158">
        <f>400000+170000</f>
        <v>570000</v>
      </c>
      <c r="L523" s="159">
        <f>400000+168000</f>
        <v>568000</v>
      </c>
      <c r="M523" s="158">
        <v>709000</v>
      </c>
      <c r="N523" s="159">
        <v>709000</v>
      </c>
      <c r="O523" s="158">
        <v>1000000</v>
      </c>
      <c r="P523" s="159">
        <v>1000000</v>
      </c>
      <c r="Q523" s="165">
        <f t="shared" si="386"/>
        <v>291000</v>
      </c>
      <c r="R523" s="166">
        <f t="shared" si="386"/>
        <v>291000</v>
      </c>
      <c r="S523" s="156">
        <v>467000</v>
      </c>
      <c r="T523" s="160"/>
      <c r="U523" s="164">
        <f>S523</f>
        <v>467000</v>
      </c>
      <c r="V523" s="161">
        <v>1000000</v>
      </c>
      <c r="W523" s="158">
        <v>1000000</v>
      </c>
      <c r="X523" s="160"/>
      <c r="Y523" s="160"/>
      <c r="Z523" s="160"/>
      <c r="AA523" s="160">
        <f>W523</f>
        <v>1000000</v>
      </c>
      <c r="AB523" s="159"/>
      <c r="AC523" s="158">
        <f>V523-W523</f>
        <v>0</v>
      </c>
      <c r="AD523" s="160"/>
      <c r="AE523" s="160"/>
      <c r="AF523" s="157"/>
      <c r="AG523" s="157"/>
      <c r="AH523" s="159"/>
      <c r="AI523" s="35">
        <f t="shared" si="385"/>
        <v>0</v>
      </c>
      <c r="AJ523" s="11">
        <f t="shared" si="385"/>
        <v>0</v>
      </c>
      <c r="AK523" s="11">
        <f t="shared" si="385"/>
        <v>0</v>
      </c>
      <c r="AL523" s="11">
        <f t="shared" si="385"/>
        <v>1000000</v>
      </c>
      <c r="AM523" s="76">
        <f t="shared" si="385"/>
        <v>0</v>
      </c>
      <c r="AN523" s="51">
        <f>SUM(AJ523:AM523)</f>
        <v>1000000</v>
      </c>
      <c r="AO523" s="36"/>
      <c r="AP523" s="9"/>
      <c r="AQ523" s="9"/>
      <c r="AR523" s="9"/>
      <c r="AS523" s="9"/>
      <c r="AT523" s="9"/>
      <c r="AU523" s="9"/>
      <c r="AV523" s="9">
        <f>AU523+AT523+AS523+AR523</f>
        <v>0</v>
      </c>
      <c r="AW523" s="10">
        <f t="shared" si="384"/>
        <v>0</v>
      </c>
      <c r="AY523" s="11">
        <f t="shared" si="381"/>
        <v>0</v>
      </c>
    </row>
    <row r="524" spans="5:55" s="27" customFormat="1" ht="60" customHeight="1" x14ac:dyDescent="0.2">
      <c r="E524" s="151">
        <f>+E523+1</f>
        <v>90104</v>
      </c>
      <c r="F524" s="170" t="s">
        <v>253</v>
      </c>
      <c r="G524" s="156">
        <v>200000</v>
      </c>
      <c r="H524" s="157">
        <f>90000+66500+35000+4720</f>
        <v>196220</v>
      </c>
      <c r="I524" s="158">
        <v>200000</v>
      </c>
      <c r="J524" s="159">
        <v>31000</v>
      </c>
      <c r="K524" s="158">
        <v>268000</v>
      </c>
      <c r="L524" s="159">
        <f>6200+18000+120000+48730+38025+35000</f>
        <v>265955</v>
      </c>
      <c r="M524" s="158">
        <v>1350000</v>
      </c>
      <c r="N524" s="159">
        <v>1350000</v>
      </c>
      <c r="O524" s="158">
        <v>500000</v>
      </c>
      <c r="P524" s="159">
        <f>500000-199000</f>
        <v>301000</v>
      </c>
      <c r="Q524" s="165">
        <f t="shared" si="386"/>
        <v>-850000</v>
      </c>
      <c r="R524" s="166">
        <f t="shared" si="386"/>
        <v>-1049000</v>
      </c>
      <c r="S524" s="156">
        <v>1266000</v>
      </c>
      <c r="T524" s="160"/>
      <c r="U524" s="164">
        <f>S524</f>
        <v>1266000</v>
      </c>
      <c r="V524" s="161">
        <v>500000</v>
      </c>
      <c r="W524" s="158">
        <v>500000</v>
      </c>
      <c r="X524" s="160"/>
      <c r="Y524" s="160">
        <f>W524</f>
        <v>500000</v>
      </c>
      <c r="Z524" s="160"/>
      <c r="AA524" s="160"/>
      <c r="AB524" s="159"/>
      <c r="AC524" s="158">
        <f>V524-W524</f>
        <v>0</v>
      </c>
      <c r="AD524" s="160"/>
      <c r="AE524" s="160"/>
      <c r="AF524" s="157"/>
      <c r="AG524" s="157"/>
      <c r="AH524" s="159"/>
      <c r="AI524" s="35">
        <f t="shared" si="385"/>
        <v>0</v>
      </c>
      <c r="AJ524" s="11">
        <f t="shared" si="385"/>
        <v>500000</v>
      </c>
      <c r="AK524" s="11">
        <f t="shared" si="385"/>
        <v>0</v>
      </c>
      <c r="AL524" s="11">
        <f t="shared" si="385"/>
        <v>0</v>
      </c>
      <c r="AM524" s="76">
        <f t="shared" si="385"/>
        <v>0</v>
      </c>
      <c r="AN524" s="51">
        <f>SUM(AJ524:AM524)</f>
        <v>500000</v>
      </c>
      <c r="AO524" s="36"/>
      <c r="AP524" s="9"/>
      <c r="AQ524" s="9"/>
      <c r="AR524" s="9"/>
      <c r="AS524" s="9"/>
      <c r="AT524" s="9"/>
      <c r="AU524" s="9"/>
      <c r="AV524" s="9">
        <f>AU524+AT524+AS524+AR524</f>
        <v>0</v>
      </c>
      <c r="AW524" s="10">
        <f>AP524-AQ524-AV524</f>
        <v>0</v>
      </c>
      <c r="AY524" s="11">
        <f t="shared" si="381"/>
        <v>0</v>
      </c>
      <c r="AZ524" s="27">
        <v>1500</v>
      </c>
    </row>
    <row r="525" spans="5:55" s="27" customFormat="1" ht="60" customHeight="1" x14ac:dyDescent="0.2">
      <c r="E525" s="151">
        <f>+E524+1</f>
        <v>90105</v>
      </c>
      <c r="F525" s="170" t="s">
        <v>254</v>
      </c>
      <c r="G525" s="156">
        <v>300000</v>
      </c>
      <c r="H525" s="157">
        <f>120000+8260</f>
        <v>128260</v>
      </c>
      <c r="I525" s="158">
        <v>200000</v>
      </c>
      <c r="J525" s="159">
        <v>65620</v>
      </c>
      <c r="K525" s="158">
        <v>100000</v>
      </c>
      <c r="L525" s="159">
        <v>58191</v>
      </c>
      <c r="M525" s="158">
        <v>50000</v>
      </c>
      <c r="N525" s="159">
        <v>25000</v>
      </c>
      <c r="O525" s="158">
        <v>200000</v>
      </c>
      <c r="P525" s="159">
        <f>27612+49000</f>
        <v>76612</v>
      </c>
      <c r="Q525" s="165">
        <f t="shared" si="386"/>
        <v>150000</v>
      </c>
      <c r="R525" s="166">
        <f t="shared" si="386"/>
        <v>51612</v>
      </c>
      <c r="S525" s="156">
        <v>49000</v>
      </c>
      <c r="T525" s="160"/>
      <c r="U525" s="164">
        <f>S525</f>
        <v>49000</v>
      </c>
      <c r="V525" s="161">
        <v>200000</v>
      </c>
      <c r="W525" s="158">
        <v>200000</v>
      </c>
      <c r="X525" s="160"/>
      <c r="Y525" s="160">
        <f>W525</f>
        <v>200000</v>
      </c>
      <c r="Z525" s="160"/>
      <c r="AA525" s="160"/>
      <c r="AB525" s="159"/>
      <c r="AC525" s="158">
        <f>V525-W525</f>
        <v>0</v>
      </c>
      <c r="AD525" s="160"/>
      <c r="AE525" s="160"/>
      <c r="AF525" s="157"/>
      <c r="AG525" s="157"/>
      <c r="AH525" s="159"/>
      <c r="AI525" s="35">
        <f t="shared" si="385"/>
        <v>0</v>
      </c>
      <c r="AJ525" s="11">
        <f t="shared" si="385"/>
        <v>200000</v>
      </c>
      <c r="AK525" s="11">
        <f t="shared" si="385"/>
        <v>0</v>
      </c>
      <c r="AL525" s="11">
        <f t="shared" si="385"/>
        <v>0</v>
      </c>
      <c r="AM525" s="76">
        <f t="shared" si="385"/>
        <v>0</v>
      </c>
      <c r="AN525" s="51">
        <f>SUM(AJ525:AM525)</f>
        <v>200000</v>
      </c>
      <c r="AO525" s="36"/>
      <c r="AP525" s="9"/>
      <c r="AQ525" s="9"/>
      <c r="AR525" s="9"/>
      <c r="AS525" s="9"/>
      <c r="AT525" s="9"/>
      <c r="AU525" s="9"/>
      <c r="AV525" s="9">
        <f>AU525+AT525+AS525+AR525</f>
        <v>0</v>
      </c>
      <c r="AW525" s="10">
        <f t="shared" si="384"/>
        <v>0</v>
      </c>
      <c r="AY525" s="11">
        <f t="shared" si="381"/>
        <v>0</v>
      </c>
      <c r="AZ525" s="27">
        <v>4500</v>
      </c>
    </row>
    <row r="526" spans="5:55" ht="60" customHeight="1" x14ac:dyDescent="0.2">
      <c r="E526" s="149"/>
      <c r="F526" s="127" t="s">
        <v>255</v>
      </c>
      <c r="G526" s="118">
        <f t="shared" ref="G526:AV526" si="387">SUM(G521:G525)</f>
        <v>6380000</v>
      </c>
      <c r="H526" s="116">
        <f t="shared" si="387"/>
        <v>6199998</v>
      </c>
      <c r="I526" s="115">
        <f t="shared" si="387"/>
        <v>5300000</v>
      </c>
      <c r="J526" s="117">
        <f t="shared" si="387"/>
        <v>5014185</v>
      </c>
      <c r="K526" s="115">
        <f t="shared" si="387"/>
        <v>5089000</v>
      </c>
      <c r="L526" s="117">
        <f t="shared" si="387"/>
        <v>4963698</v>
      </c>
      <c r="M526" s="115">
        <f t="shared" si="387"/>
        <v>7609000</v>
      </c>
      <c r="N526" s="117">
        <f t="shared" si="387"/>
        <v>7488424</v>
      </c>
      <c r="O526" s="115">
        <f t="shared" si="387"/>
        <v>11550000</v>
      </c>
      <c r="P526" s="117">
        <f t="shared" si="387"/>
        <v>7782930</v>
      </c>
      <c r="Q526" s="115">
        <f t="shared" si="387"/>
        <v>3941000</v>
      </c>
      <c r="R526" s="117">
        <f t="shared" si="387"/>
        <v>294506</v>
      </c>
      <c r="S526" s="118">
        <f t="shared" si="387"/>
        <v>9030000</v>
      </c>
      <c r="T526" s="120">
        <f t="shared" si="387"/>
        <v>0</v>
      </c>
      <c r="U526" s="116">
        <f t="shared" si="387"/>
        <v>9030000</v>
      </c>
      <c r="V526" s="119">
        <f t="shared" si="387"/>
        <v>16400000</v>
      </c>
      <c r="W526" s="115">
        <f t="shared" si="387"/>
        <v>7200000</v>
      </c>
      <c r="X526" s="120">
        <f t="shared" si="387"/>
        <v>0</v>
      </c>
      <c r="Y526" s="120">
        <f t="shared" si="387"/>
        <v>700000</v>
      </c>
      <c r="Z526" s="120">
        <f t="shared" si="387"/>
        <v>0</v>
      </c>
      <c r="AA526" s="120">
        <f t="shared" si="387"/>
        <v>6500000</v>
      </c>
      <c r="AB526" s="117">
        <f t="shared" si="387"/>
        <v>0</v>
      </c>
      <c r="AC526" s="115">
        <f t="shared" si="387"/>
        <v>9200000</v>
      </c>
      <c r="AD526" s="120">
        <f t="shared" si="387"/>
        <v>0</v>
      </c>
      <c r="AE526" s="120">
        <f t="shared" si="387"/>
        <v>0</v>
      </c>
      <c r="AF526" s="116">
        <f t="shared" si="387"/>
        <v>0</v>
      </c>
      <c r="AG526" s="116">
        <f t="shared" si="387"/>
        <v>9200000</v>
      </c>
      <c r="AH526" s="117">
        <f t="shared" si="387"/>
        <v>0</v>
      </c>
      <c r="AI526" s="47">
        <f t="shared" si="387"/>
        <v>0</v>
      </c>
      <c r="AJ526" s="10">
        <f t="shared" si="387"/>
        <v>700000</v>
      </c>
      <c r="AK526" s="10">
        <f t="shared" si="387"/>
        <v>0</v>
      </c>
      <c r="AL526" s="10">
        <f t="shared" si="387"/>
        <v>15700000</v>
      </c>
      <c r="AM526" s="48">
        <f t="shared" si="387"/>
        <v>0</v>
      </c>
      <c r="AN526" s="52">
        <f t="shared" si="387"/>
        <v>16400000</v>
      </c>
      <c r="AO526" s="39">
        <f t="shared" si="387"/>
        <v>0</v>
      </c>
      <c r="AP526" s="10">
        <f t="shared" si="387"/>
        <v>0</v>
      </c>
      <c r="AQ526" s="10">
        <f t="shared" si="387"/>
        <v>0</v>
      </c>
      <c r="AR526" s="10">
        <f t="shared" si="387"/>
        <v>0</v>
      </c>
      <c r="AS526" s="10">
        <f t="shared" si="387"/>
        <v>0</v>
      </c>
      <c r="AT526" s="10">
        <f t="shared" si="387"/>
        <v>0</v>
      </c>
      <c r="AU526" s="10">
        <f t="shared" si="387"/>
        <v>0</v>
      </c>
      <c r="AV526" s="10">
        <f t="shared" si="387"/>
        <v>0</v>
      </c>
      <c r="AW526" s="10">
        <f t="shared" si="384"/>
        <v>0</v>
      </c>
      <c r="AY526" s="11">
        <f>V526-W526-AC526</f>
        <v>0</v>
      </c>
      <c r="AZ526" t="e">
        <f>+#REF!*0.18</f>
        <v>#REF!</v>
      </c>
    </row>
    <row r="527" spans="5:55" ht="60" customHeight="1" x14ac:dyDescent="0.2">
      <c r="E527" s="151">
        <v>90200</v>
      </c>
      <c r="F527" s="162" t="s">
        <v>544</v>
      </c>
      <c r="G527" s="156"/>
      <c r="H527" s="157"/>
      <c r="I527" s="158"/>
      <c r="J527" s="159"/>
      <c r="K527" s="158"/>
      <c r="L527" s="159"/>
      <c r="M527" s="158"/>
      <c r="N527" s="159"/>
      <c r="O527" s="158"/>
      <c r="P527" s="159"/>
      <c r="Q527" s="165"/>
      <c r="R527" s="166"/>
      <c r="S527" s="156"/>
      <c r="T527" s="160"/>
      <c r="U527" s="164"/>
      <c r="V527" s="161">
        <v>10000000</v>
      </c>
      <c r="W527" s="158">
        <f>V527</f>
        <v>10000000</v>
      </c>
      <c r="X527" s="160"/>
      <c r="Y527" s="160"/>
      <c r="Z527" s="160">
        <f>W527</f>
        <v>10000000</v>
      </c>
      <c r="AA527" s="160"/>
      <c r="AB527" s="159"/>
      <c r="AC527" s="158"/>
      <c r="AD527" s="160"/>
      <c r="AE527" s="160"/>
      <c r="AF527" s="157"/>
      <c r="AG527" s="157"/>
      <c r="AH527" s="159"/>
      <c r="AI527" s="35">
        <f>AD527+X527</f>
        <v>0</v>
      </c>
      <c r="AJ527" s="11">
        <f>AE527+Y527</f>
        <v>0</v>
      </c>
      <c r="AK527" s="11">
        <f>AF527+Z527</f>
        <v>10000000</v>
      </c>
      <c r="AL527" s="11">
        <f>AG527+AA527</f>
        <v>0</v>
      </c>
      <c r="AM527" s="76">
        <f>AH527+AB527</f>
        <v>0</v>
      </c>
      <c r="AN527" s="51"/>
      <c r="AO527" s="39"/>
      <c r="AP527" s="10"/>
      <c r="AQ527" s="10"/>
      <c r="AR527" s="10"/>
      <c r="AS527" s="10"/>
      <c r="AT527" s="10"/>
      <c r="AU527" s="10"/>
      <c r="AV527" s="10"/>
      <c r="AW527" s="10"/>
      <c r="AY527" s="11"/>
    </row>
    <row r="528" spans="5:55" ht="60" customHeight="1" x14ac:dyDescent="0.2">
      <c r="E528" s="150"/>
      <c r="F528" s="127" t="s">
        <v>256</v>
      </c>
      <c r="G528" s="118" t="e">
        <f>#REF!+#REF!+G526</f>
        <v>#REF!</v>
      </c>
      <c r="H528" s="116" t="e">
        <f>#REF!+#REF!+H526</f>
        <v>#REF!</v>
      </c>
      <c r="I528" s="115" t="e">
        <f>#REF!+#REF!+I526</f>
        <v>#REF!</v>
      </c>
      <c r="J528" s="117" t="e">
        <f>#REF!+#REF!+J526</f>
        <v>#REF!</v>
      </c>
      <c r="K528" s="115" t="e">
        <f>#REF!+#REF!+K526</f>
        <v>#REF!</v>
      </c>
      <c r="L528" s="117" t="e">
        <f>#REF!+#REF!+L526</f>
        <v>#REF!</v>
      </c>
      <c r="M528" s="115" t="e">
        <f>#REF!+#REF!+M526</f>
        <v>#REF!</v>
      </c>
      <c r="N528" s="117" t="e">
        <f>#REF!+#REF!+N526</f>
        <v>#REF!</v>
      </c>
      <c r="O528" s="115" t="e">
        <f>#REF!+#REF!+O526</f>
        <v>#REF!</v>
      </c>
      <c r="P528" s="117" t="e">
        <f>#REF!+#REF!+P526</f>
        <v>#REF!</v>
      </c>
      <c r="Q528" s="115" t="e">
        <f>#REF!+#REF!+Q526</f>
        <v>#REF!</v>
      </c>
      <c r="R528" s="117" t="e">
        <f>#REF!+#REF!+R526</f>
        <v>#REF!</v>
      </c>
      <c r="S528" s="118" t="e">
        <f>#REF!+#REF!+S526</f>
        <v>#REF!</v>
      </c>
      <c r="T528" s="120" t="e">
        <f>#REF!+#REF!+T526</f>
        <v>#REF!</v>
      </c>
      <c r="U528" s="116" t="e">
        <f>#REF!+#REF!+U526</f>
        <v>#REF!</v>
      </c>
      <c r="V528" s="119">
        <f>V526+V527</f>
        <v>26400000</v>
      </c>
      <c r="W528" s="115">
        <f t="shared" ref="W528:AM528" si="388">W526+W527</f>
        <v>17200000</v>
      </c>
      <c r="X528" s="120">
        <f t="shared" si="388"/>
        <v>0</v>
      </c>
      <c r="Y528" s="120">
        <f t="shared" si="388"/>
        <v>700000</v>
      </c>
      <c r="Z528" s="120">
        <f t="shared" si="388"/>
        <v>10000000</v>
      </c>
      <c r="AA528" s="120">
        <f t="shared" si="388"/>
        <v>6500000</v>
      </c>
      <c r="AB528" s="117">
        <f t="shared" si="388"/>
        <v>0</v>
      </c>
      <c r="AC528" s="115">
        <f t="shared" si="388"/>
        <v>9200000</v>
      </c>
      <c r="AD528" s="120">
        <f t="shared" si="388"/>
        <v>0</v>
      </c>
      <c r="AE528" s="120">
        <f t="shared" si="388"/>
        <v>0</v>
      </c>
      <c r="AF528" s="116">
        <f t="shared" si="388"/>
        <v>0</v>
      </c>
      <c r="AG528" s="116">
        <f t="shared" si="388"/>
        <v>9200000</v>
      </c>
      <c r="AH528" s="117">
        <f t="shared" si="388"/>
        <v>0</v>
      </c>
      <c r="AI528" s="47">
        <f t="shared" si="388"/>
        <v>0</v>
      </c>
      <c r="AJ528" s="10">
        <f t="shared" si="388"/>
        <v>700000</v>
      </c>
      <c r="AK528" s="10">
        <f t="shared" si="388"/>
        <v>10000000</v>
      </c>
      <c r="AL528" s="10">
        <f t="shared" si="388"/>
        <v>15700000</v>
      </c>
      <c r="AM528" s="48">
        <f t="shared" si="388"/>
        <v>0</v>
      </c>
      <c r="AN528" s="52" t="e">
        <f>#REF!+#REF!+AN526</f>
        <v>#REF!</v>
      </c>
      <c r="AO528" s="39" t="e">
        <f>#REF!+AO526</f>
        <v>#REF!</v>
      </c>
      <c r="AP528" s="10" t="e">
        <f>#REF!+AP526</f>
        <v>#REF!</v>
      </c>
      <c r="AQ528" s="10" t="e">
        <f>#REF!+AQ526</f>
        <v>#REF!</v>
      </c>
      <c r="AR528" s="10" t="e">
        <f>#REF!+AR526</f>
        <v>#REF!</v>
      </c>
      <c r="AS528" s="10" t="e">
        <f>#REF!+AS526</f>
        <v>#REF!</v>
      </c>
      <c r="AT528" s="10" t="e">
        <f>#REF!+AT526</f>
        <v>#REF!</v>
      </c>
      <c r="AU528" s="10" t="e">
        <f>#REF!+AU526</f>
        <v>#REF!</v>
      </c>
      <c r="AV528" s="10" t="e">
        <f>#REF!+AV526</f>
        <v>#REF!</v>
      </c>
      <c r="AW528" s="10" t="e">
        <f t="shared" si="384"/>
        <v>#REF!</v>
      </c>
      <c r="AY528" s="11">
        <f>V528-W528-AC528</f>
        <v>0</v>
      </c>
    </row>
    <row r="529" spans="5:51" ht="60" customHeight="1" thickBot="1" x14ac:dyDescent="0.25">
      <c r="E529" s="152"/>
      <c r="F529" s="153" t="s">
        <v>257</v>
      </c>
      <c r="G529" s="144" t="e">
        <f t="shared" ref="G529:AV529" si="389">G528+G518+G451+G438+G433+G404+G201+G103+G10</f>
        <v>#REF!</v>
      </c>
      <c r="H529" s="142" t="e">
        <f t="shared" si="389"/>
        <v>#REF!</v>
      </c>
      <c r="I529" s="141" t="e">
        <f t="shared" si="389"/>
        <v>#REF!</v>
      </c>
      <c r="J529" s="143" t="e">
        <f t="shared" si="389"/>
        <v>#REF!</v>
      </c>
      <c r="K529" s="141" t="e">
        <f t="shared" si="389"/>
        <v>#REF!</v>
      </c>
      <c r="L529" s="143" t="e">
        <f t="shared" si="389"/>
        <v>#REF!</v>
      </c>
      <c r="M529" s="141" t="e">
        <f t="shared" si="389"/>
        <v>#REF!</v>
      </c>
      <c r="N529" s="143" t="e">
        <f t="shared" si="389"/>
        <v>#REF!</v>
      </c>
      <c r="O529" s="141" t="e">
        <f t="shared" si="389"/>
        <v>#REF!</v>
      </c>
      <c r="P529" s="143" t="e">
        <f t="shared" si="389"/>
        <v>#REF!</v>
      </c>
      <c r="Q529" s="141" t="e">
        <f t="shared" si="389"/>
        <v>#REF!</v>
      </c>
      <c r="R529" s="143" t="e">
        <f t="shared" si="389"/>
        <v>#REF!</v>
      </c>
      <c r="S529" s="144" t="e">
        <f t="shared" si="389"/>
        <v>#REF!</v>
      </c>
      <c r="T529" s="145" t="e">
        <f t="shared" si="389"/>
        <v>#REF!</v>
      </c>
      <c r="U529" s="142" t="e">
        <f t="shared" si="389"/>
        <v>#REF!</v>
      </c>
      <c r="V529" s="146">
        <f t="shared" si="389"/>
        <v>1501821000</v>
      </c>
      <c r="W529" s="141">
        <f t="shared" si="389"/>
        <v>931740000</v>
      </c>
      <c r="X529" s="145">
        <f t="shared" si="389"/>
        <v>554409000</v>
      </c>
      <c r="Y529" s="145">
        <f t="shared" si="389"/>
        <v>95320000</v>
      </c>
      <c r="Z529" s="145">
        <f t="shared" si="389"/>
        <v>78005000</v>
      </c>
      <c r="AA529" s="145">
        <f t="shared" si="389"/>
        <v>148131500</v>
      </c>
      <c r="AB529" s="143">
        <f t="shared" si="389"/>
        <v>55874500</v>
      </c>
      <c r="AC529" s="141">
        <f t="shared" si="389"/>
        <v>570081000</v>
      </c>
      <c r="AD529" s="145">
        <f t="shared" si="389"/>
        <v>88785000</v>
      </c>
      <c r="AE529" s="145">
        <f t="shared" si="389"/>
        <v>140923000</v>
      </c>
      <c r="AF529" s="142">
        <f t="shared" si="389"/>
        <v>159472000</v>
      </c>
      <c r="AG529" s="142">
        <f t="shared" si="389"/>
        <v>102156500</v>
      </c>
      <c r="AH529" s="143">
        <f t="shared" si="389"/>
        <v>78744500</v>
      </c>
      <c r="AI529" s="84">
        <f t="shared" si="389"/>
        <v>643194000</v>
      </c>
      <c r="AJ529" s="86">
        <f t="shared" si="389"/>
        <v>236243000</v>
      </c>
      <c r="AK529" s="86">
        <f t="shared" si="389"/>
        <v>237477000</v>
      </c>
      <c r="AL529" s="86">
        <f t="shared" si="389"/>
        <v>250288000</v>
      </c>
      <c r="AM529" s="85">
        <f t="shared" si="389"/>
        <v>134619000</v>
      </c>
      <c r="AN529" s="87" t="e">
        <f t="shared" si="389"/>
        <v>#REF!</v>
      </c>
      <c r="AO529" s="39" t="e">
        <f t="shared" si="389"/>
        <v>#REF!</v>
      </c>
      <c r="AP529" s="10" t="e">
        <f t="shared" si="389"/>
        <v>#REF!</v>
      </c>
      <c r="AQ529" s="10" t="e">
        <f t="shared" si="389"/>
        <v>#REF!</v>
      </c>
      <c r="AR529" s="10" t="e">
        <f t="shared" si="389"/>
        <v>#REF!</v>
      </c>
      <c r="AS529" s="10" t="e">
        <f t="shared" si="389"/>
        <v>#REF!</v>
      </c>
      <c r="AT529" s="10" t="e">
        <f t="shared" si="389"/>
        <v>#REF!</v>
      </c>
      <c r="AU529" s="10" t="e">
        <f t="shared" si="389"/>
        <v>#REF!</v>
      </c>
      <c r="AV529" s="10" t="e">
        <f t="shared" si="389"/>
        <v>#REF!</v>
      </c>
      <c r="AW529" s="10" t="e">
        <f t="shared" si="384"/>
        <v>#REF!</v>
      </c>
      <c r="AY529" s="11">
        <f>V529-W529-AC529</f>
        <v>0</v>
      </c>
    </row>
    <row r="530" spans="5:51" ht="26.25" x14ac:dyDescent="0.2">
      <c r="E530" s="17"/>
      <c r="F530" s="72"/>
      <c r="G530" s="19"/>
      <c r="H530" s="19"/>
      <c r="I530" s="19"/>
      <c r="J530" s="19"/>
      <c r="K530" s="19"/>
      <c r="L530" s="19"/>
      <c r="M530" s="19"/>
      <c r="N530" s="19"/>
      <c r="O530" s="19"/>
      <c r="P530" s="19"/>
      <c r="Q530" s="19"/>
      <c r="R530" s="19"/>
      <c r="S530" s="19"/>
      <c r="T530" s="19"/>
      <c r="U530" s="19"/>
      <c r="V530" s="19"/>
      <c r="W530" s="19"/>
      <c r="X530" s="19"/>
      <c r="Y530" s="19"/>
      <c r="Z530" s="19"/>
      <c r="AA530" s="19"/>
      <c r="AB530" s="19"/>
      <c r="AC530" s="19"/>
      <c r="AD530" s="19"/>
      <c r="AE530" s="19"/>
      <c r="AF530" s="19"/>
      <c r="AG530" s="19"/>
      <c r="AH530" s="19"/>
      <c r="AI530" s="19"/>
      <c r="AJ530" s="19"/>
      <c r="AK530" s="19"/>
      <c r="AL530" s="19"/>
      <c r="AM530" s="19"/>
      <c r="AN530" s="19"/>
      <c r="AO530" s="19"/>
      <c r="AP530" s="19"/>
      <c r="AQ530" s="19"/>
      <c r="AR530" s="19"/>
      <c r="AS530" s="19"/>
      <c r="AT530" s="19"/>
      <c r="AU530" s="19"/>
      <c r="AV530" s="19"/>
    </row>
    <row r="531" spans="5:51" s="64" customFormat="1" x14ac:dyDescent="0.2">
      <c r="E531" s="17"/>
      <c r="F531" s="63"/>
      <c r="G531" s="19"/>
      <c r="H531" s="19"/>
      <c r="I531" s="19"/>
      <c r="J531" s="19"/>
      <c r="K531" s="19"/>
      <c r="L531" s="19"/>
      <c r="M531" s="19"/>
      <c r="N531" s="19"/>
      <c r="O531" s="19"/>
      <c r="P531" s="19"/>
      <c r="Q531" s="19"/>
      <c r="R531" s="19"/>
      <c r="S531" s="19"/>
      <c r="T531" s="19"/>
      <c r="U531" s="19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19"/>
      <c r="AJ531" s="19"/>
      <c r="AK531" s="19"/>
      <c r="AL531" s="19"/>
      <c r="AM531" s="19"/>
      <c r="AN531" s="19"/>
      <c r="AO531" s="19"/>
      <c r="AP531" s="30"/>
      <c r="AQ531" s="19"/>
      <c r="AR531" s="19"/>
      <c r="AS531" s="19"/>
      <c r="AT531" s="19"/>
      <c r="AU531" s="19"/>
      <c r="AV531" s="19"/>
    </row>
    <row r="532" spans="5:51" s="64" customFormat="1" ht="30.75" x14ac:dyDescent="0.2">
      <c r="E532" s="17"/>
      <c r="F532" s="63"/>
      <c r="G532" s="19"/>
      <c r="H532" s="19"/>
      <c r="I532" s="19"/>
      <c r="J532" s="19"/>
      <c r="K532" s="19"/>
      <c r="L532" s="19"/>
      <c r="M532" s="19"/>
      <c r="N532" s="19"/>
      <c r="O532" s="19"/>
      <c r="P532" s="19"/>
      <c r="Q532" s="19"/>
      <c r="R532" s="19"/>
      <c r="S532" s="19"/>
      <c r="T532" s="19"/>
      <c r="U532" s="19"/>
      <c r="V532" s="19"/>
      <c r="W532" s="19"/>
      <c r="X532" s="19"/>
      <c r="Y532" s="19"/>
      <c r="Z532" s="19"/>
      <c r="AA532" s="19"/>
      <c r="AB532" s="19"/>
      <c r="AC532" s="19"/>
      <c r="AD532" s="19"/>
      <c r="AE532" s="19"/>
      <c r="AF532" s="19"/>
      <c r="AG532" s="19"/>
      <c r="AH532" s="19"/>
      <c r="AI532" s="19"/>
      <c r="AJ532" s="19"/>
      <c r="AK532" s="19"/>
      <c r="AL532" s="19"/>
      <c r="AM532" s="19"/>
      <c r="AN532" s="19"/>
      <c r="AO532" s="19"/>
      <c r="AP532" s="20"/>
      <c r="AQ532" s="19"/>
      <c r="AR532" s="19"/>
      <c r="AS532" s="19"/>
      <c r="AT532" s="19"/>
      <c r="AU532" s="19"/>
      <c r="AV532" s="19"/>
    </row>
    <row r="533" spans="5:51" s="64" customFormat="1" x14ac:dyDescent="0.2">
      <c r="E533" s="65"/>
      <c r="F533" s="63"/>
      <c r="G533" s="66"/>
      <c r="H533" s="66"/>
      <c r="I533" s="66"/>
      <c r="J533" s="66"/>
      <c r="K533" s="67"/>
      <c r="L533" s="67"/>
      <c r="M533" s="67"/>
      <c r="N533" s="67"/>
      <c r="O533" s="67"/>
      <c r="P533" s="67"/>
      <c r="Q533" s="67"/>
      <c r="R533" s="67"/>
      <c r="S533" s="66"/>
      <c r="T533" s="66"/>
      <c r="U533" s="67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66"/>
      <c r="AJ533" s="66"/>
      <c r="AK533" s="67"/>
      <c r="AL533" s="66"/>
      <c r="AM533" s="67"/>
      <c r="AN533" s="19"/>
      <c r="AO533" s="19"/>
      <c r="AP533" s="66"/>
      <c r="AQ533" s="66"/>
      <c r="AR533" s="66"/>
      <c r="AS533" s="66"/>
      <c r="AT533" s="66"/>
      <c r="AU533" s="66"/>
      <c r="AV533" s="66"/>
    </row>
    <row r="534" spans="5:51" s="64" customFormat="1" x14ac:dyDescent="0.2">
      <c r="E534" s="65"/>
      <c r="F534" s="63"/>
      <c r="G534" s="66"/>
      <c r="H534" s="66"/>
      <c r="I534" s="66"/>
      <c r="J534" s="66"/>
      <c r="K534" s="66"/>
      <c r="L534" s="66"/>
      <c r="M534" s="66"/>
      <c r="N534" s="66"/>
      <c r="O534" s="66"/>
      <c r="P534" s="66"/>
      <c r="Q534" s="66"/>
      <c r="R534" s="66"/>
      <c r="S534" s="66"/>
      <c r="T534" s="66"/>
      <c r="U534" s="66"/>
      <c r="V534" s="66"/>
      <c r="W534" s="66"/>
      <c r="X534" s="66"/>
      <c r="Y534" s="66"/>
      <c r="Z534" s="66"/>
      <c r="AA534" s="66"/>
      <c r="AB534" s="66"/>
      <c r="AC534" s="66"/>
      <c r="AD534" s="67"/>
      <c r="AE534" s="66"/>
      <c r="AF534" s="66"/>
      <c r="AG534" s="66"/>
      <c r="AH534" s="19"/>
      <c r="AI534" s="66"/>
      <c r="AJ534" s="66"/>
      <c r="AK534" s="66"/>
      <c r="AL534" s="66"/>
      <c r="AM534" s="66"/>
      <c r="AN534" s="66"/>
      <c r="AO534" s="66"/>
      <c r="AP534" s="66"/>
      <c r="AQ534" s="66"/>
      <c r="AR534" s="66"/>
      <c r="AS534" s="66"/>
      <c r="AT534" s="66"/>
      <c r="AU534" s="66"/>
      <c r="AV534" s="66"/>
    </row>
    <row r="535" spans="5:51" s="64" customFormat="1" x14ac:dyDescent="0.2">
      <c r="E535" s="65"/>
      <c r="F535" s="63"/>
      <c r="G535" s="66"/>
      <c r="H535" s="66"/>
      <c r="I535" s="66"/>
      <c r="J535" s="66"/>
      <c r="K535" s="66"/>
      <c r="L535" s="66"/>
      <c r="M535" s="66"/>
      <c r="N535" s="66"/>
      <c r="O535" s="66"/>
      <c r="P535" s="66"/>
      <c r="Q535" s="66"/>
      <c r="R535" s="66"/>
      <c r="S535" s="66"/>
      <c r="T535" s="66"/>
      <c r="U535" s="66"/>
      <c r="V535" s="66"/>
      <c r="W535" s="66"/>
      <c r="X535" s="66"/>
      <c r="Y535" s="66"/>
      <c r="Z535" s="66"/>
      <c r="AA535" s="66"/>
      <c r="AB535" s="66"/>
      <c r="AC535" s="66"/>
      <c r="AD535" s="66"/>
      <c r="AE535" s="66"/>
      <c r="AF535" s="66"/>
      <c r="AG535" s="66"/>
      <c r="AH535" s="66"/>
      <c r="AI535" s="66"/>
      <c r="AJ535" s="66"/>
      <c r="AK535" s="66"/>
      <c r="AL535" s="66"/>
      <c r="AM535" s="66"/>
      <c r="AN535" s="66"/>
      <c r="AO535" s="66"/>
      <c r="AP535" s="66"/>
      <c r="AQ535" s="66"/>
      <c r="AR535" s="66"/>
      <c r="AS535" s="66"/>
      <c r="AT535" s="66"/>
      <c r="AU535" s="66"/>
      <c r="AV535" s="66"/>
    </row>
    <row r="536" spans="5:51" s="64" customFormat="1" x14ac:dyDescent="0.2">
      <c r="E536" s="68"/>
      <c r="F536" s="63"/>
      <c r="G536" s="19"/>
      <c r="H536" s="19"/>
      <c r="I536" s="19"/>
      <c r="J536" s="19"/>
      <c r="K536" s="19"/>
      <c r="L536" s="19"/>
      <c r="M536" s="19"/>
      <c r="N536" s="19"/>
      <c r="O536" s="19"/>
      <c r="P536" s="19"/>
      <c r="Q536" s="19"/>
      <c r="R536" s="19"/>
      <c r="S536" s="19"/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</row>
    <row r="537" spans="5:51" s="64" customFormat="1" x14ac:dyDescent="0.35">
      <c r="E537" s="69"/>
      <c r="F537" s="63"/>
      <c r="G537" s="70"/>
      <c r="H537" s="70"/>
      <c r="I537" s="70"/>
      <c r="J537" s="70"/>
      <c r="K537" s="70"/>
      <c r="L537" s="70"/>
      <c r="M537" s="70"/>
      <c r="N537" s="70"/>
      <c r="O537" s="70"/>
      <c r="P537" s="70"/>
      <c r="Q537" s="70"/>
      <c r="R537" s="70"/>
      <c r="S537" s="70"/>
      <c r="T537" s="70"/>
      <c r="U537" s="70"/>
      <c r="V537" s="70"/>
      <c r="W537" s="70"/>
      <c r="X537" s="70"/>
      <c r="Y537" s="70"/>
      <c r="Z537" s="70"/>
      <c r="AA537" s="70"/>
      <c r="AB537" s="70"/>
      <c r="AC537" s="70"/>
      <c r="AD537" s="70"/>
      <c r="AE537" s="70"/>
      <c r="AF537" s="70"/>
      <c r="AG537" s="70"/>
      <c r="AH537" s="70"/>
      <c r="AI537" s="70"/>
      <c r="AJ537" s="70"/>
      <c r="AK537" s="70"/>
      <c r="AL537" s="70"/>
      <c r="AM537" s="70"/>
      <c r="AN537" s="70"/>
      <c r="AO537" s="70"/>
      <c r="AP537" s="70"/>
      <c r="AQ537" s="70"/>
      <c r="AR537" s="70"/>
      <c r="AS537" s="70"/>
      <c r="AT537" s="70"/>
      <c r="AU537" s="70"/>
      <c r="AV537" s="70"/>
    </row>
    <row r="538" spans="5:51" s="64" customFormat="1" x14ac:dyDescent="0.35">
      <c r="E538" s="69"/>
      <c r="F538" s="63"/>
      <c r="G538" s="70"/>
      <c r="H538" s="70"/>
      <c r="I538" s="70"/>
      <c r="J538" s="70"/>
      <c r="K538" s="70"/>
      <c r="L538" s="70"/>
      <c r="M538" s="70"/>
      <c r="N538" s="70"/>
      <c r="O538" s="70"/>
      <c r="P538" s="70"/>
      <c r="Q538" s="70"/>
      <c r="R538" s="70"/>
      <c r="S538" s="70"/>
      <c r="T538" s="70"/>
      <c r="U538" s="70"/>
      <c r="V538" s="70"/>
      <c r="W538" s="70"/>
      <c r="X538" s="70"/>
      <c r="Y538" s="70"/>
      <c r="Z538" s="70"/>
      <c r="AA538" s="70"/>
      <c r="AB538" s="70"/>
      <c r="AC538" s="70"/>
      <c r="AD538" s="70"/>
      <c r="AE538" s="70"/>
      <c r="AF538" s="70"/>
      <c r="AG538" s="70"/>
      <c r="AH538" s="70"/>
      <c r="AI538" s="70"/>
      <c r="AJ538" s="70"/>
      <c r="AK538" s="70"/>
      <c r="AL538" s="70"/>
      <c r="AM538" s="70"/>
      <c r="AN538" s="70"/>
      <c r="AO538" s="70"/>
      <c r="AP538" s="70"/>
      <c r="AQ538" s="70"/>
      <c r="AR538" s="70"/>
      <c r="AS538" s="70"/>
      <c r="AT538" s="70"/>
      <c r="AU538" s="70"/>
      <c r="AV538" s="70"/>
    </row>
    <row r="539" spans="5:51" s="64" customFormat="1" x14ac:dyDescent="0.35">
      <c r="E539" s="69"/>
      <c r="F539" s="63"/>
      <c r="G539" s="70"/>
      <c r="H539" s="70"/>
      <c r="I539" s="70"/>
      <c r="J539" s="70"/>
      <c r="K539" s="70"/>
      <c r="L539" s="70"/>
      <c r="M539" s="70"/>
      <c r="N539" s="70"/>
      <c r="O539" s="70"/>
      <c r="P539" s="70"/>
      <c r="Q539" s="70"/>
      <c r="R539" s="70"/>
      <c r="S539" s="70"/>
      <c r="T539" s="70"/>
      <c r="U539" s="70"/>
      <c r="V539" s="70"/>
      <c r="W539" s="70"/>
      <c r="X539" s="70"/>
      <c r="Y539" s="70"/>
      <c r="Z539" s="70"/>
      <c r="AA539" s="70"/>
      <c r="AB539" s="70"/>
      <c r="AC539" s="70"/>
      <c r="AD539" s="70"/>
      <c r="AE539" s="70"/>
      <c r="AF539" s="70"/>
      <c r="AG539" s="70"/>
      <c r="AH539" s="70"/>
      <c r="AI539" s="70"/>
      <c r="AJ539" s="70"/>
      <c r="AK539" s="70"/>
      <c r="AL539" s="70"/>
      <c r="AM539" s="70"/>
      <c r="AN539" s="70"/>
      <c r="AO539" s="70"/>
      <c r="AP539" s="70"/>
      <c r="AQ539" s="70"/>
      <c r="AR539" s="70"/>
      <c r="AS539" s="70"/>
      <c r="AT539" s="70"/>
      <c r="AU539" s="70"/>
      <c r="AV539" s="70"/>
    </row>
    <row r="540" spans="5:51" s="64" customFormat="1" x14ac:dyDescent="0.35">
      <c r="E540" s="69"/>
      <c r="F540" s="63"/>
      <c r="G540" s="70"/>
      <c r="H540" s="70"/>
      <c r="I540" s="70"/>
      <c r="J540" s="70"/>
      <c r="K540" s="70"/>
      <c r="L540" s="70"/>
      <c r="M540" s="70"/>
      <c r="N540" s="70"/>
      <c r="O540" s="70"/>
      <c r="P540" s="70"/>
      <c r="Q540" s="70"/>
      <c r="R540" s="70"/>
      <c r="S540" s="70"/>
      <c r="T540" s="70"/>
      <c r="U540" s="70"/>
      <c r="V540" s="70"/>
      <c r="W540" s="70"/>
      <c r="X540" s="70"/>
      <c r="Y540" s="70"/>
      <c r="Z540" s="70"/>
      <c r="AA540" s="70"/>
      <c r="AB540" s="70"/>
      <c r="AC540" s="70"/>
      <c r="AD540" s="70"/>
      <c r="AE540" s="70"/>
      <c r="AF540" s="70"/>
      <c r="AG540" s="70"/>
      <c r="AH540" s="70"/>
      <c r="AI540" s="70"/>
      <c r="AJ540" s="70"/>
      <c r="AK540" s="70"/>
      <c r="AL540" s="70"/>
      <c r="AM540" s="70"/>
      <c r="AN540" s="70"/>
      <c r="AO540" s="70"/>
      <c r="AP540" s="70"/>
      <c r="AQ540" s="70"/>
      <c r="AR540" s="70"/>
      <c r="AS540" s="70"/>
      <c r="AT540" s="70"/>
      <c r="AU540" s="70"/>
      <c r="AV540" s="70"/>
    </row>
    <row r="541" spans="5:51" s="64" customFormat="1" x14ac:dyDescent="0.35">
      <c r="E541" s="69"/>
      <c r="F541" s="63"/>
      <c r="G541" s="70"/>
      <c r="H541" s="70"/>
      <c r="I541" s="70"/>
      <c r="J541" s="70"/>
      <c r="K541" s="70"/>
      <c r="L541" s="70"/>
      <c r="M541" s="70"/>
      <c r="N541" s="70"/>
      <c r="O541" s="70"/>
      <c r="P541" s="70"/>
      <c r="Q541" s="70"/>
      <c r="R541" s="70"/>
      <c r="S541" s="70"/>
      <c r="T541" s="70"/>
      <c r="U541" s="70"/>
      <c r="V541" s="70"/>
      <c r="W541" s="70"/>
      <c r="X541" s="70"/>
      <c r="Y541" s="70"/>
      <c r="Z541" s="70"/>
      <c r="AA541" s="70"/>
      <c r="AB541" s="70"/>
      <c r="AC541" s="70"/>
      <c r="AD541" s="70"/>
      <c r="AE541" s="70"/>
      <c r="AF541" s="70"/>
      <c r="AG541" s="70"/>
      <c r="AH541" s="70"/>
      <c r="AI541" s="70"/>
      <c r="AJ541" s="70"/>
      <c r="AK541" s="70"/>
      <c r="AL541" s="70"/>
      <c r="AM541" s="70"/>
      <c r="AN541" s="70"/>
      <c r="AO541" s="70"/>
      <c r="AP541" s="70"/>
      <c r="AQ541" s="70"/>
      <c r="AR541" s="70"/>
      <c r="AS541" s="70"/>
      <c r="AT541" s="70"/>
      <c r="AU541" s="70"/>
      <c r="AV541" s="70"/>
    </row>
    <row r="542" spans="5:51" s="64" customFormat="1" x14ac:dyDescent="0.35">
      <c r="E542" s="69"/>
      <c r="F542" s="63"/>
      <c r="G542" s="70"/>
      <c r="H542" s="70"/>
      <c r="I542" s="70"/>
      <c r="J542" s="70"/>
      <c r="K542" s="70"/>
      <c r="L542" s="70"/>
      <c r="M542" s="70"/>
      <c r="N542" s="70"/>
      <c r="O542" s="70"/>
      <c r="P542" s="70"/>
      <c r="Q542" s="70"/>
      <c r="R542" s="70"/>
      <c r="S542" s="70"/>
      <c r="T542" s="70"/>
      <c r="U542" s="70"/>
      <c r="V542" s="70"/>
      <c r="W542" s="70"/>
      <c r="X542" s="70"/>
      <c r="Y542" s="70"/>
      <c r="Z542" s="70"/>
      <c r="AA542" s="70"/>
      <c r="AB542" s="70"/>
      <c r="AC542" s="70"/>
      <c r="AD542" s="70"/>
      <c r="AE542" s="70"/>
      <c r="AF542" s="70"/>
      <c r="AG542" s="70"/>
      <c r="AH542" s="70"/>
      <c r="AI542" s="70"/>
      <c r="AJ542" s="70"/>
      <c r="AK542" s="70"/>
      <c r="AL542" s="70"/>
      <c r="AM542" s="70"/>
      <c r="AN542" s="70"/>
      <c r="AO542" s="70"/>
      <c r="AP542" s="70"/>
      <c r="AQ542" s="70"/>
      <c r="AR542" s="70"/>
      <c r="AS542" s="70"/>
      <c r="AT542" s="70"/>
      <c r="AU542" s="70"/>
      <c r="AV542" s="70"/>
    </row>
    <row r="543" spans="5:51" s="64" customFormat="1" x14ac:dyDescent="0.35">
      <c r="E543" s="69"/>
      <c r="F543" s="63"/>
      <c r="G543" s="70"/>
      <c r="H543" s="70"/>
      <c r="I543" s="70"/>
      <c r="J543" s="70"/>
      <c r="K543" s="70"/>
      <c r="L543" s="70"/>
      <c r="M543" s="70"/>
      <c r="N543" s="70"/>
      <c r="O543" s="70"/>
      <c r="P543" s="70"/>
      <c r="Q543" s="70"/>
      <c r="R543" s="70"/>
      <c r="S543" s="70"/>
      <c r="T543" s="70"/>
      <c r="U543" s="70"/>
      <c r="V543" s="70"/>
      <c r="W543" s="70"/>
      <c r="X543" s="70"/>
      <c r="Y543" s="70"/>
      <c r="Z543" s="70"/>
      <c r="AA543" s="70"/>
      <c r="AB543" s="70"/>
      <c r="AC543" s="70"/>
      <c r="AD543" s="70"/>
      <c r="AE543" s="70"/>
      <c r="AF543" s="70"/>
      <c r="AG543" s="70"/>
      <c r="AH543" s="70"/>
      <c r="AI543" s="70"/>
      <c r="AJ543" s="70"/>
      <c r="AK543" s="70"/>
      <c r="AL543" s="70"/>
      <c r="AM543" s="70"/>
      <c r="AN543" s="70"/>
      <c r="AO543" s="70"/>
      <c r="AP543" s="70"/>
      <c r="AQ543" s="70"/>
      <c r="AR543" s="70"/>
      <c r="AS543" s="70"/>
      <c r="AT543" s="70"/>
      <c r="AU543" s="70"/>
      <c r="AV543" s="70"/>
    </row>
    <row r="544" spans="5:51" s="64" customFormat="1" x14ac:dyDescent="0.35">
      <c r="E544" s="69"/>
      <c r="F544" s="63"/>
      <c r="G544" s="70"/>
      <c r="H544" s="70"/>
      <c r="I544" s="70"/>
      <c r="J544" s="70"/>
      <c r="K544" s="70"/>
      <c r="L544" s="70"/>
      <c r="M544" s="70"/>
      <c r="N544" s="70"/>
      <c r="O544" s="70"/>
      <c r="P544" s="70"/>
      <c r="Q544" s="70"/>
      <c r="R544" s="70"/>
      <c r="S544" s="70"/>
      <c r="T544" s="70"/>
      <c r="U544" s="70"/>
      <c r="V544" s="70"/>
      <c r="W544" s="70"/>
      <c r="X544" s="70"/>
      <c r="Y544" s="70"/>
      <c r="Z544" s="70"/>
      <c r="AA544" s="70"/>
      <c r="AB544" s="70"/>
      <c r="AC544" s="70"/>
      <c r="AD544" s="70"/>
      <c r="AE544" s="70"/>
      <c r="AF544" s="70"/>
      <c r="AG544" s="70"/>
      <c r="AH544" s="70"/>
      <c r="AI544" s="70"/>
      <c r="AJ544" s="70"/>
      <c r="AK544" s="70"/>
      <c r="AL544" s="70"/>
      <c r="AM544" s="70"/>
      <c r="AN544" s="70"/>
      <c r="AO544" s="70"/>
      <c r="AP544" s="70"/>
      <c r="AQ544" s="70"/>
      <c r="AR544" s="70"/>
      <c r="AS544" s="70"/>
      <c r="AT544" s="70"/>
      <c r="AU544" s="70"/>
      <c r="AV544" s="70"/>
    </row>
    <row r="545" spans="5:48" s="64" customFormat="1" x14ac:dyDescent="0.35">
      <c r="E545" s="69"/>
      <c r="F545" s="63"/>
      <c r="G545" s="70"/>
      <c r="H545" s="70"/>
      <c r="I545" s="70"/>
      <c r="J545" s="70"/>
      <c r="K545" s="70"/>
      <c r="L545" s="70"/>
      <c r="M545" s="70"/>
      <c r="N545" s="70"/>
      <c r="O545" s="70"/>
      <c r="P545" s="70"/>
      <c r="Q545" s="70"/>
      <c r="R545" s="70"/>
      <c r="S545" s="70"/>
      <c r="T545" s="70"/>
      <c r="U545" s="70"/>
      <c r="V545" s="70"/>
      <c r="W545" s="70"/>
      <c r="X545" s="70"/>
      <c r="Y545" s="70"/>
      <c r="Z545" s="70"/>
      <c r="AA545" s="70"/>
      <c r="AB545" s="70"/>
      <c r="AC545" s="70"/>
      <c r="AD545" s="70"/>
      <c r="AE545" s="70"/>
      <c r="AF545" s="70"/>
      <c r="AG545" s="70"/>
      <c r="AH545" s="70"/>
      <c r="AI545" s="70"/>
      <c r="AJ545" s="70"/>
      <c r="AK545" s="70"/>
      <c r="AL545" s="70"/>
      <c r="AM545" s="70"/>
      <c r="AN545" s="70"/>
      <c r="AO545" s="70"/>
      <c r="AP545" s="70"/>
      <c r="AQ545" s="70"/>
      <c r="AR545" s="70"/>
      <c r="AS545" s="70"/>
      <c r="AT545" s="70"/>
      <c r="AU545" s="70"/>
      <c r="AV545" s="70"/>
    </row>
    <row r="546" spans="5:48" s="64" customFormat="1" x14ac:dyDescent="0.35">
      <c r="E546" s="69"/>
      <c r="F546" s="63"/>
      <c r="G546" s="70"/>
      <c r="H546" s="70"/>
      <c r="I546" s="70"/>
      <c r="J546" s="70"/>
      <c r="K546" s="70"/>
      <c r="L546" s="70"/>
      <c r="M546" s="70"/>
      <c r="N546" s="70"/>
      <c r="O546" s="70"/>
      <c r="P546" s="70"/>
      <c r="Q546" s="70"/>
      <c r="R546" s="70"/>
      <c r="S546" s="70"/>
      <c r="T546" s="70"/>
      <c r="U546" s="70"/>
      <c r="V546" s="70"/>
      <c r="W546" s="70"/>
      <c r="X546" s="70"/>
      <c r="Y546" s="70"/>
      <c r="Z546" s="70"/>
      <c r="AA546" s="70"/>
      <c r="AB546" s="70"/>
      <c r="AC546" s="70"/>
      <c r="AD546" s="70"/>
      <c r="AE546" s="70"/>
      <c r="AF546" s="70"/>
      <c r="AG546" s="70"/>
      <c r="AH546" s="70"/>
      <c r="AI546" s="70"/>
      <c r="AJ546" s="70"/>
      <c r="AK546" s="70"/>
      <c r="AL546" s="70"/>
      <c r="AM546" s="70"/>
      <c r="AN546" s="70"/>
      <c r="AO546" s="70"/>
      <c r="AP546" s="70"/>
      <c r="AQ546" s="70"/>
      <c r="AR546" s="70"/>
      <c r="AS546" s="70"/>
      <c r="AT546" s="70"/>
      <c r="AU546" s="70"/>
      <c r="AV546" s="70"/>
    </row>
    <row r="547" spans="5:48" s="64" customFormat="1" x14ac:dyDescent="0.35">
      <c r="E547" s="69"/>
      <c r="F547" s="63"/>
      <c r="G547" s="70"/>
      <c r="H547" s="70"/>
      <c r="I547" s="70"/>
      <c r="J547" s="70"/>
      <c r="K547" s="70"/>
      <c r="L547" s="70"/>
      <c r="M547" s="70"/>
      <c r="N547" s="70"/>
      <c r="O547" s="70"/>
      <c r="P547" s="70"/>
      <c r="Q547" s="70"/>
      <c r="R547" s="70"/>
      <c r="S547" s="70"/>
      <c r="T547" s="70"/>
      <c r="U547" s="70"/>
      <c r="V547" s="70"/>
      <c r="W547" s="70"/>
      <c r="X547" s="70"/>
      <c r="Y547" s="70"/>
      <c r="Z547" s="70"/>
      <c r="AA547" s="70"/>
      <c r="AB547" s="70"/>
      <c r="AC547" s="70"/>
      <c r="AD547" s="70"/>
      <c r="AE547" s="70"/>
      <c r="AF547" s="70"/>
      <c r="AG547" s="70"/>
      <c r="AH547" s="70"/>
      <c r="AI547" s="70"/>
      <c r="AJ547" s="70"/>
      <c r="AK547" s="70"/>
      <c r="AL547" s="70"/>
      <c r="AM547" s="70"/>
      <c r="AN547" s="70"/>
      <c r="AO547" s="70"/>
      <c r="AP547" s="70"/>
      <c r="AQ547" s="70"/>
      <c r="AR547" s="70"/>
      <c r="AS547" s="70"/>
      <c r="AT547" s="70"/>
      <c r="AU547" s="70"/>
      <c r="AV547" s="70"/>
    </row>
    <row r="548" spans="5:48" s="64" customFormat="1" x14ac:dyDescent="0.35">
      <c r="E548" s="69"/>
      <c r="F548" s="63"/>
      <c r="G548" s="70"/>
      <c r="H548" s="70"/>
      <c r="I548" s="70"/>
      <c r="J548" s="70"/>
      <c r="K548" s="70"/>
      <c r="L548" s="70"/>
      <c r="M548" s="70"/>
      <c r="N548" s="70"/>
      <c r="O548" s="70"/>
      <c r="P548" s="70"/>
      <c r="Q548" s="70"/>
      <c r="R548" s="70"/>
      <c r="S548" s="70"/>
      <c r="T548" s="70"/>
      <c r="U548" s="70"/>
      <c r="V548" s="70"/>
      <c r="W548" s="70"/>
      <c r="X548" s="70"/>
      <c r="Y548" s="70"/>
      <c r="Z548" s="70"/>
      <c r="AA548" s="70"/>
      <c r="AB548" s="70"/>
      <c r="AC548" s="70"/>
      <c r="AD548" s="70"/>
      <c r="AE548" s="70"/>
      <c r="AF548" s="70"/>
      <c r="AG548" s="70"/>
      <c r="AH548" s="70"/>
      <c r="AI548" s="70"/>
      <c r="AJ548" s="70"/>
      <c r="AK548" s="70"/>
      <c r="AL548" s="70"/>
      <c r="AM548" s="70"/>
      <c r="AN548" s="70"/>
      <c r="AO548" s="70"/>
      <c r="AP548" s="70"/>
      <c r="AQ548" s="70"/>
      <c r="AR548" s="70"/>
      <c r="AS548" s="70"/>
      <c r="AT548" s="70"/>
      <c r="AU548" s="70"/>
      <c r="AV548" s="70"/>
    </row>
    <row r="549" spans="5:48" s="64" customFormat="1" x14ac:dyDescent="0.35">
      <c r="E549" s="69"/>
      <c r="F549" s="63"/>
      <c r="G549" s="70"/>
      <c r="H549" s="70"/>
      <c r="I549" s="70"/>
      <c r="J549" s="70"/>
      <c r="K549" s="70"/>
      <c r="L549" s="70"/>
      <c r="M549" s="70"/>
      <c r="N549" s="70"/>
      <c r="O549" s="70"/>
      <c r="P549" s="70"/>
      <c r="Q549" s="70"/>
      <c r="R549" s="70"/>
      <c r="S549" s="70"/>
      <c r="T549" s="70"/>
      <c r="U549" s="70"/>
      <c r="V549" s="70"/>
      <c r="W549" s="70"/>
      <c r="X549" s="70"/>
      <c r="Y549" s="70"/>
      <c r="Z549" s="70"/>
      <c r="AA549" s="70"/>
      <c r="AB549" s="70"/>
      <c r="AC549" s="70"/>
      <c r="AD549" s="70"/>
      <c r="AE549" s="70"/>
      <c r="AF549" s="70"/>
      <c r="AG549" s="70"/>
      <c r="AH549" s="70"/>
      <c r="AI549" s="70"/>
      <c r="AJ549" s="70"/>
      <c r="AK549" s="70"/>
      <c r="AL549" s="70"/>
      <c r="AM549" s="70"/>
      <c r="AN549" s="70"/>
      <c r="AO549" s="70"/>
      <c r="AP549" s="70"/>
      <c r="AQ549" s="70"/>
      <c r="AR549" s="70"/>
      <c r="AS549" s="70"/>
      <c r="AT549" s="70"/>
      <c r="AU549" s="70"/>
      <c r="AV549" s="70"/>
    </row>
    <row r="550" spans="5:48" s="64" customFormat="1" x14ac:dyDescent="0.35">
      <c r="E550" s="69"/>
      <c r="F550" s="63"/>
      <c r="G550" s="70"/>
      <c r="H550" s="70"/>
      <c r="I550" s="70"/>
      <c r="J550" s="70"/>
      <c r="K550" s="70"/>
      <c r="L550" s="70"/>
      <c r="M550" s="70"/>
      <c r="N550" s="70"/>
      <c r="O550" s="70"/>
      <c r="P550" s="70"/>
      <c r="Q550" s="70"/>
      <c r="R550" s="70"/>
      <c r="S550" s="70"/>
      <c r="T550" s="70"/>
      <c r="U550" s="70"/>
      <c r="V550" s="70"/>
      <c r="W550" s="70"/>
      <c r="X550" s="70"/>
      <c r="Y550" s="70"/>
      <c r="Z550" s="70"/>
      <c r="AA550" s="70"/>
      <c r="AB550" s="70"/>
      <c r="AC550" s="70"/>
      <c r="AD550" s="70"/>
      <c r="AE550" s="70"/>
      <c r="AF550" s="70"/>
      <c r="AG550" s="70"/>
      <c r="AH550" s="70"/>
      <c r="AI550" s="70"/>
      <c r="AJ550" s="70"/>
      <c r="AK550" s="70"/>
      <c r="AL550" s="70"/>
      <c r="AM550" s="70"/>
      <c r="AN550" s="70"/>
      <c r="AO550" s="70"/>
      <c r="AP550" s="70"/>
      <c r="AQ550" s="70"/>
      <c r="AR550" s="70"/>
      <c r="AS550" s="70"/>
      <c r="AT550" s="70"/>
      <c r="AU550" s="70"/>
      <c r="AV550" s="70"/>
    </row>
    <row r="551" spans="5:48" s="64" customFormat="1" x14ac:dyDescent="0.35">
      <c r="E551" s="69"/>
      <c r="F551" s="63"/>
      <c r="G551" s="70"/>
      <c r="H551" s="70"/>
      <c r="I551" s="70"/>
      <c r="J551" s="70"/>
      <c r="K551" s="70"/>
      <c r="L551" s="70"/>
      <c r="M551" s="70"/>
      <c r="N551" s="70"/>
      <c r="O551" s="70"/>
      <c r="P551" s="70"/>
      <c r="Q551" s="70"/>
      <c r="R551" s="70"/>
      <c r="S551" s="70"/>
      <c r="T551" s="70"/>
      <c r="U551" s="70"/>
      <c r="V551" s="70"/>
      <c r="W551" s="70"/>
      <c r="X551" s="70"/>
      <c r="Y551" s="70"/>
      <c r="Z551" s="70"/>
      <c r="AA551" s="70"/>
      <c r="AB551" s="70"/>
      <c r="AC551" s="70"/>
      <c r="AD551" s="70"/>
      <c r="AE551" s="70"/>
      <c r="AF551" s="70"/>
      <c r="AG551" s="70"/>
      <c r="AH551" s="70"/>
      <c r="AI551" s="70"/>
      <c r="AJ551" s="70"/>
      <c r="AK551" s="70"/>
      <c r="AL551" s="70"/>
      <c r="AM551" s="70"/>
      <c r="AN551" s="70"/>
      <c r="AO551" s="70"/>
      <c r="AP551" s="70"/>
      <c r="AQ551" s="70"/>
      <c r="AR551" s="70"/>
      <c r="AS551" s="70"/>
      <c r="AT551" s="70"/>
      <c r="AU551" s="70"/>
      <c r="AV551" s="70"/>
    </row>
    <row r="552" spans="5:48" s="64" customFormat="1" x14ac:dyDescent="0.35">
      <c r="E552" s="69"/>
      <c r="F552" s="63"/>
      <c r="G552" s="70"/>
      <c r="H552" s="70"/>
      <c r="I552" s="70"/>
      <c r="J552" s="70"/>
      <c r="K552" s="70"/>
      <c r="L552" s="70"/>
      <c r="M552" s="70"/>
      <c r="N552" s="70"/>
      <c r="O552" s="70"/>
      <c r="P552" s="70"/>
      <c r="Q552" s="70"/>
      <c r="R552" s="70"/>
      <c r="S552" s="70"/>
      <c r="T552" s="70"/>
      <c r="U552" s="70"/>
      <c r="V552" s="70"/>
      <c r="W552" s="70"/>
      <c r="X552" s="70"/>
      <c r="Y552" s="70"/>
      <c r="Z552" s="70"/>
      <c r="AA552" s="70"/>
      <c r="AB552" s="70"/>
      <c r="AC552" s="70"/>
      <c r="AD552" s="70"/>
      <c r="AE552" s="70"/>
      <c r="AF552" s="70"/>
      <c r="AG552" s="70"/>
      <c r="AH552" s="70"/>
      <c r="AI552" s="70"/>
      <c r="AJ552" s="70"/>
      <c r="AK552" s="70"/>
      <c r="AL552" s="70"/>
      <c r="AM552" s="70"/>
      <c r="AN552" s="70"/>
      <c r="AO552" s="70"/>
      <c r="AP552" s="70"/>
      <c r="AQ552" s="70"/>
      <c r="AR552" s="70"/>
      <c r="AS552" s="70"/>
      <c r="AT552" s="70"/>
      <c r="AU552" s="70"/>
      <c r="AV552" s="70"/>
    </row>
    <row r="553" spans="5:48" s="64" customFormat="1" x14ac:dyDescent="0.35">
      <c r="E553" s="69"/>
      <c r="F553" s="63"/>
      <c r="G553" s="70"/>
      <c r="H553" s="70"/>
      <c r="I553" s="70"/>
      <c r="J553" s="70"/>
      <c r="K553" s="70"/>
      <c r="L553" s="70"/>
      <c r="M553" s="70"/>
      <c r="N553" s="70"/>
      <c r="O553" s="70"/>
      <c r="P553" s="70"/>
      <c r="Q553" s="70"/>
      <c r="R553" s="70"/>
      <c r="S553" s="70"/>
      <c r="T553" s="70"/>
      <c r="U553" s="70"/>
      <c r="V553" s="70"/>
      <c r="W553" s="70"/>
      <c r="X553" s="70"/>
      <c r="Y553" s="70"/>
      <c r="Z553" s="70"/>
      <c r="AA553" s="70"/>
      <c r="AB553" s="70"/>
      <c r="AC553" s="70"/>
      <c r="AD553" s="70"/>
      <c r="AE553" s="70"/>
      <c r="AF553" s="70"/>
      <c r="AG553" s="70"/>
      <c r="AH553" s="70"/>
      <c r="AI553" s="70"/>
      <c r="AJ553" s="70"/>
      <c r="AK553" s="70"/>
      <c r="AL553" s="70"/>
      <c r="AM553" s="70"/>
      <c r="AN553" s="70"/>
      <c r="AO553" s="70"/>
      <c r="AP553" s="70"/>
      <c r="AQ553" s="70"/>
      <c r="AR553" s="70"/>
      <c r="AS553" s="70"/>
      <c r="AT553" s="70"/>
      <c r="AU553" s="70"/>
      <c r="AV553" s="70"/>
    </row>
    <row r="554" spans="5:48" s="64" customFormat="1" x14ac:dyDescent="0.35">
      <c r="E554" s="69"/>
      <c r="F554" s="63"/>
      <c r="G554" s="70"/>
      <c r="H554" s="70"/>
      <c r="I554" s="70"/>
      <c r="J554" s="70"/>
      <c r="K554" s="70"/>
      <c r="L554" s="70"/>
      <c r="M554" s="70"/>
      <c r="N554" s="70"/>
      <c r="O554" s="70"/>
      <c r="P554" s="70"/>
      <c r="Q554" s="70"/>
      <c r="R554" s="70"/>
      <c r="S554" s="70"/>
      <c r="T554" s="70"/>
      <c r="U554" s="70"/>
      <c r="V554" s="70"/>
      <c r="W554" s="70"/>
      <c r="X554" s="70"/>
      <c r="Y554" s="70"/>
      <c r="Z554" s="70"/>
      <c r="AA554" s="70"/>
      <c r="AB554" s="70"/>
      <c r="AC554" s="70"/>
      <c r="AD554" s="70"/>
      <c r="AE554" s="70"/>
      <c r="AF554" s="70"/>
      <c r="AG554" s="70"/>
      <c r="AH554" s="70"/>
      <c r="AI554" s="70"/>
      <c r="AJ554" s="70"/>
      <c r="AK554" s="70"/>
      <c r="AL554" s="70"/>
      <c r="AM554" s="70"/>
      <c r="AN554" s="70"/>
      <c r="AO554" s="70"/>
      <c r="AP554" s="70"/>
      <c r="AQ554" s="70"/>
      <c r="AR554" s="70"/>
      <c r="AS554" s="70"/>
      <c r="AT554" s="70"/>
      <c r="AU554" s="70"/>
      <c r="AV554" s="70"/>
    </row>
    <row r="555" spans="5:48" s="64" customFormat="1" x14ac:dyDescent="0.2">
      <c r="F555" s="74"/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AP555" s="71"/>
    </row>
    <row r="556" spans="5:48" s="64" customFormat="1" x14ac:dyDescent="0.2">
      <c r="F556" s="74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AP556" s="71"/>
    </row>
    <row r="557" spans="5:48" s="64" customFormat="1" x14ac:dyDescent="0.2">
      <c r="F557" s="74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AP557" s="71"/>
    </row>
    <row r="558" spans="5:48" s="64" customFormat="1" x14ac:dyDescent="0.2">
      <c r="F558" s="74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AP558" s="71"/>
    </row>
    <row r="559" spans="5:48" s="64" customFormat="1" x14ac:dyDescent="0.2">
      <c r="F559" s="74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AP559" s="71"/>
    </row>
    <row r="560" spans="5:48" s="64" customFormat="1" x14ac:dyDescent="0.2">
      <c r="F560" s="74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AP560" s="71"/>
    </row>
    <row r="561" spans="6:42" s="64" customFormat="1" x14ac:dyDescent="0.2">
      <c r="F561" s="74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AP561" s="71"/>
    </row>
    <row r="562" spans="6:42" s="64" customFormat="1" x14ac:dyDescent="0.2">
      <c r="F562" s="74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AP562" s="71"/>
    </row>
    <row r="563" spans="6:42" s="64" customFormat="1" x14ac:dyDescent="0.2">
      <c r="F563" s="74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AP563" s="71"/>
    </row>
    <row r="564" spans="6:42" s="64" customFormat="1" x14ac:dyDescent="0.2">
      <c r="F564" s="74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AP564" s="71"/>
    </row>
    <row r="565" spans="6:42" s="64" customFormat="1" x14ac:dyDescent="0.2">
      <c r="F565" s="74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AP565" s="71"/>
    </row>
    <row r="566" spans="6:42" s="64" customFormat="1" x14ac:dyDescent="0.2">
      <c r="F566" s="74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AP566" s="71"/>
    </row>
    <row r="567" spans="6:42" s="64" customFormat="1" x14ac:dyDescent="0.2">
      <c r="F567" s="74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AP567" s="71"/>
    </row>
    <row r="568" spans="6:42" s="64" customFormat="1" x14ac:dyDescent="0.2">
      <c r="F568" s="74"/>
      <c r="G568" s="60"/>
      <c r="H568" s="60"/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AP568" s="71"/>
    </row>
    <row r="569" spans="6:42" s="64" customFormat="1" x14ac:dyDescent="0.2">
      <c r="F569" s="74"/>
      <c r="G569" s="60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AP569" s="71"/>
    </row>
    <row r="570" spans="6:42" s="64" customFormat="1" x14ac:dyDescent="0.2">
      <c r="F570" s="74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AP570" s="71"/>
    </row>
    <row r="571" spans="6:42" s="64" customFormat="1" x14ac:dyDescent="0.2">
      <c r="F571" s="74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AP571" s="71"/>
    </row>
    <row r="572" spans="6:42" s="64" customFormat="1" x14ac:dyDescent="0.2">
      <c r="F572" s="74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AP572" s="71"/>
    </row>
    <row r="573" spans="6:42" s="64" customFormat="1" x14ac:dyDescent="0.2">
      <c r="F573" s="74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AP573" s="71"/>
    </row>
    <row r="574" spans="6:42" s="64" customFormat="1" x14ac:dyDescent="0.2">
      <c r="F574" s="74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AP574" s="71"/>
    </row>
    <row r="575" spans="6:42" s="64" customFormat="1" x14ac:dyDescent="0.2">
      <c r="F575" s="74"/>
      <c r="G575" s="60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AP575" s="71"/>
    </row>
    <row r="576" spans="6:42" s="64" customFormat="1" x14ac:dyDescent="0.2">
      <c r="F576" s="74"/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AP576" s="71"/>
    </row>
    <row r="577" spans="6:42" s="64" customFormat="1" x14ac:dyDescent="0.2">
      <c r="F577" s="74"/>
      <c r="G577" s="60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AP577" s="71"/>
    </row>
    <row r="578" spans="6:42" s="64" customFormat="1" x14ac:dyDescent="0.2">
      <c r="F578" s="74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AP578" s="71"/>
    </row>
    <row r="579" spans="6:42" s="64" customFormat="1" x14ac:dyDescent="0.2">
      <c r="F579" s="74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AP579" s="71"/>
    </row>
    <row r="580" spans="6:42" s="64" customFormat="1" x14ac:dyDescent="0.2">
      <c r="F580" s="74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AP580" s="71"/>
    </row>
    <row r="581" spans="6:42" s="64" customFormat="1" x14ac:dyDescent="0.2">
      <c r="F581" s="74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AP581" s="71"/>
    </row>
    <row r="582" spans="6:42" s="64" customFormat="1" x14ac:dyDescent="0.2">
      <c r="F582" s="74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AP582" s="71"/>
    </row>
    <row r="583" spans="6:42" s="64" customFormat="1" x14ac:dyDescent="0.2">
      <c r="F583" s="74"/>
      <c r="G583" s="60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AP583" s="71"/>
    </row>
    <row r="584" spans="6:42" s="64" customFormat="1" x14ac:dyDescent="0.2">
      <c r="F584" s="74"/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AP584" s="71"/>
    </row>
    <row r="585" spans="6:42" s="64" customFormat="1" x14ac:dyDescent="0.2">
      <c r="F585" s="74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AP585" s="71"/>
    </row>
    <row r="586" spans="6:42" s="64" customFormat="1" x14ac:dyDescent="0.2">
      <c r="F586" s="74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AP586" s="71"/>
    </row>
    <row r="587" spans="6:42" s="64" customFormat="1" x14ac:dyDescent="0.2">
      <c r="F587" s="74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AP587" s="71"/>
    </row>
    <row r="588" spans="6:42" s="64" customFormat="1" x14ac:dyDescent="0.2">
      <c r="F588" s="74"/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AP588" s="71"/>
    </row>
    <row r="589" spans="6:42" s="64" customFormat="1" x14ac:dyDescent="0.2">
      <c r="F589" s="74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AP589" s="71"/>
    </row>
    <row r="590" spans="6:42" s="64" customFormat="1" x14ac:dyDescent="0.2">
      <c r="F590" s="74"/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AP590" s="71"/>
    </row>
    <row r="591" spans="6:42" s="64" customFormat="1" x14ac:dyDescent="0.2">
      <c r="F591" s="74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AP591" s="71"/>
    </row>
    <row r="592" spans="6:42" s="64" customFormat="1" x14ac:dyDescent="0.2">
      <c r="F592" s="74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AP592" s="71"/>
    </row>
    <row r="593" spans="6:42" s="64" customFormat="1" x14ac:dyDescent="0.2">
      <c r="F593" s="74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AP593" s="71"/>
    </row>
    <row r="594" spans="6:42" s="64" customFormat="1" x14ac:dyDescent="0.2">
      <c r="F594" s="74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AP594" s="71"/>
    </row>
    <row r="595" spans="6:42" s="64" customFormat="1" x14ac:dyDescent="0.2">
      <c r="F595" s="74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AP595" s="71"/>
    </row>
    <row r="596" spans="6:42" s="64" customFormat="1" x14ac:dyDescent="0.2">
      <c r="F596" s="74"/>
      <c r="G596" s="6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AP596" s="71"/>
    </row>
    <row r="597" spans="6:42" s="64" customFormat="1" x14ac:dyDescent="0.2">
      <c r="F597" s="74"/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AP597" s="71"/>
    </row>
    <row r="598" spans="6:42" s="64" customFormat="1" x14ac:dyDescent="0.2">
      <c r="F598" s="74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AP598" s="71"/>
    </row>
    <row r="599" spans="6:42" s="64" customFormat="1" x14ac:dyDescent="0.2">
      <c r="F599" s="74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AP599" s="71"/>
    </row>
    <row r="600" spans="6:42" s="64" customFormat="1" x14ac:dyDescent="0.2">
      <c r="F600" s="74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AP600" s="71"/>
    </row>
    <row r="601" spans="6:42" s="64" customFormat="1" x14ac:dyDescent="0.2">
      <c r="F601" s="74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AP601" s="71"/>
    </row>
    <row r="602" spans="6:42" s="64" customFormat="1" x14ac:dyDescent="0.2">
      <c r="F602" s="74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AP602" s="71"/>
    </row>
    <row r="603" spans="6:42" s="64" customFormat="1" x14ac:dyDescent="0.2">
      <c r="F603" s="74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AP603" s="71"/>
    </row>
    <row r="604" spans="6:42" s="64" customFormat="1" x14ac:dyDescent="0.2">
      <c r="F604" s="74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AP604" s="71"/>
    </row>
    <row r="605" spans="6:42" s="64" customFormat="1" x14ac:dyDescent="0.2">
      <c r="F605" s="74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AP605" s="71"/>
    </row>
    <row r="606" spans="6:42" s="64" customFormat="1" x14ac:dyDescent="0.2">
      <c r="F606" s="74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AP606" s="71"/>
    </row>
    <row r="607" spans="6:42" s="64" customFormat="1" x14ac:dyDescent="0.2">
      <c r="F607" s="74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AP607" s="71"/>
    </row>
    <row r="608" spans="6:42" s="64" customFormat="1" x14ac:dyDescent="0.2">
      <c r="F608" s="74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AP608" s="71"/>
    </row>
    <row r="609" spans="6:42" s="64" customFormat="1" x14ac:dyDescent="0.2">
      <c r="F609" s="74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AP609" s="71"/>
    </row>
    <row r="610" spans="6:42" s="64" customFormat="1" x14ac:dyDescent="0.2">
      <c r="F610" s="74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AP610" s="71"/>
    </row>
    <row r="611" spans="6:42" s="64" customFormat="1" x14ac:dyDescent="0.2">
      <c r="F611" s="74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AP611" s="71"/>
    </row>
    <row r="612" spans="6:42" s="64" customFormat="1" x14ac:dyDescent="0.2">
      <c r="F612" s="74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AP612" s="71"/>
    </row>
    <row r="613" spans="6:42" s="64" customFormat="1" x14ac:dyDescent="0.2">
      <c r="F613" s="74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AP613" s="71"/>
    </row>
    <row r="614" spans="6:42" s="64" customFormat="1" x14ac:dyDescent="0.2">
      <c r="F614" s="74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AP614" s="71"/>
    </row>
    <row r="615" spans="6:42" s="64" customFormat="1" x14ac:dyDescent="0.2">
      <c r="F615" s="74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AP615" s="71"/>
    </row>
    <row r="616" spans="6:42" s="64" customFormat="1" x14ac:dyDescent="0.2">
      <c r="F616" s="74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AP616" s="71"/>
    </row>
    <row r="617" spans="6:42" s="64" customFormat="1" x14ac:dyDescent="0.2">
      <c r="F617" s="74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AP617" s="71"/>
    </row>
    <row r="618" spans="6:42" s="64" customFormat="1" x14ac:dyDescent="0.2">
      <c r="F618" s="74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AP618" s="71"/>
    </row>
    <row r="619" spans="6:42" s="64" customFormat="1" x14ac:dyDescent="0.2">
      <c r="F619" s="74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AP619" s="71"/>
    </row>
    <row r="620" spans="6:42" s="64" customFormat="1" x14ac:dyDescent="0.2">
      <c r="F620" s="74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AP620" s="71"/>
    </row>
    <row r="621" spans="6:42" s="64" customFormat="1" x14ac:dyDescent="0.2">
      <c r="F621" s="74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AP621" s="71"/>
    </row>
    <row r="622" spans="6:42" s="64" customFormat="1" x14ac:dyDescent="0.2">
      <c r="F622" s="74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AP622" s="71"/>
    </row>
    <row r="623" spans="6:42" s="64" customFormat="1" x14ac:dyDescent="0.2">
      <c r="F623" s="74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AP623" s="71"/>
    </row>
    <row r="624" spans="6:42" s="64" customFormat="1" x14ac:dyDescent="0.2">
      <c r="F624" s="74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AP624" s="71"/>
    </row>
    <row r="625" spans="6:42" s="64" customFormat="1" x14ac:dyDescent="0.2">
      <c r="F625" s="74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AP625" s="71"/>
    </row>
    <row r="626" spans="6:42" s="64" customFormat="1" x14ac:dyDescent="0.2">
      <c r="F626" s="74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AP626" s="71"/>
    </row>
    <row r="627" spans="6:42" s="64" customFormat="1" x14ac:dyDescent="0.2">
      <c r="F627" s="74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AP627" s="71"/>
    </row>
    <row r="628" spans="6:42" s="64" customFormat="1" x14ac:dyDescent="0.2">
      <c r="F628" s="74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AP628" s="71"/>
    </row>
    <row r="629" spans="6:42" s="64" customFormat="1" x14ac:dyDescent="0.2">
      <c r="F629" s="74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AP629" s="71"/>
    </row>
    <row r="630" spans="6:42" s="64" customFormat="1" x14ac:dyDescent="0.2">
      <c r="F630" s="74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AP630" s="71"/>
    </row>
    <row r="631" spans="6:42" s="64" customFormat="1" x14ac:dyDescent="0.2">
      <c r="F631" s="74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AP631" s="71"/>
    </row>
    <row r="632" spans="6:42" s="64" customFormat="1" x14ac:dyDescent="0.2">
      <c r="F632" s="74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AP632" s="71"/>
    </row>
    <row r="633" spans="6:42" s="64" customFormat="1" x14ac:dyDescent="0.2">
      <c r="F633" s="74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AP633" s="71"/>
    </row>
    <row r="634" spans="6:42" s="64" customFormat="1" x14ac:dyDescent="0.2">
      <c r="F634" s="74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AP634" s="71"/>
    </row>
    <row r="635" spans="6:42" s="64" customFormat="1" x14ac:dyDescent="0.2">
      <c r="F635" s="74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AP635" s="71"/>
    </row>
    <row r="636" spans="6:42" s="64" customFormat="1" x14ac:dyDescent="0.2">
      <c r="F636" s="74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AP636" s="71"/>
    </row>
    <row r="637" spans="6:42" s="64" customFormat="1" x14ac:dyDescent="0.2">
      <c r="F637" s="74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AP637" s="71"/>
    </row>
    <row r="638" spans="6:42" s="64" customFormat="1" x14ac:dyDescent="0.2">
      <c r="F638" s="74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AP638" s="71"/>
    </row>
    <row r="639" spans="6:42" s="64" customFormat="1" x14ac:dyDescent="0.2">
      <c r="F639" s="74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AP639" s="71"/>
    </row>
    <row r="640" spans="6:42" s="64" customFormat="1" x14ac:dyDescent="0.2">
      <c r="F640" s="74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AP640" s="71"/>
    </row>
    <row r="641" spans="6:42" s="64" customFormat="1" x14ac:dyDescent="0.2">
      <c r="F641" s="74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AP641" s="71"/>
    </row>
    <row r="642" spans="6:42" s="64" customFormat="1" x14ac:dyDescent="0.2">
      <c r="F642" s="74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AP642" s="71"/>
    </row>
    <row r="643" spans="6:42" s="64" customFormat="1" x14ac:dyDescent="0.2">
      <c r="F643" s="74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AP643" s="71"/>
    </row>
    <row r="644" spans="6:42" s="64" customFormat="1" x14ac:dyDescent="0.2">
      <c r="F644" s="74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AP644" s="71"/>
    </row>
    <row r="645" spans="6:42" s="64" customFormat="1" x14ac:dyDescent="0.2">
      <c r="F645" s="74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AP645" s="71"/>
    </row>
    <row r="646" spans="6:42" s="64" customFormat="1" x14ac:dyDescent="0.2">
      <c r="F646" s="74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AP646" s="71"/>
    </row>
    <row r="647" spans="6:42" s="64" customFormat="1" x14ac:dyDescent="0.2">
      <c r="F647" s="74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AP647" s="71"/>
    </row>
    <row r="648" spans="6:42" s="64" customFormat="1" x14ac:dyDescent="0.2">
      <c r="F648" s="74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AP648" s="71"/>
    </row>
    <row r="649" spans="6:42" s="64" customFormat="1" x14ac:dyDescent="0.2">
      <c r="F649" s="74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AP649" s="71"/>
    </row>
    <row r="650" spans="6:42" s="64" customFormat="1" x14ac:dyDescent="0.2">
      <c r="F650" s="74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AP650" s="71"/>
    </row>
    <row r="651" spans="6:42" s="64" customFormat="1" x14ac:dyDescent="0.2">
      <c r="F651" s="74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AP651" s="71"/>
    </row>
    <row r="652" spans="6:42" s="64" customFormat="1" x14ac:dyDescent="0.2">
      <c r="F652" s="74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AP652" s="71"/>
    </row>
    <row r="653" spans="6:42" s="64" customFormat="1" x14ac:dyDescent="0.2">
      <c r="F653" s="74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AP653" s="71"/>
    </row>
    <row r="654" spans="6:42" s="64" customFormat="1" x14ac:dyDescent="0.2">
      <c r="F654" s="74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AP654" s="71"/>
    </row>
    <row r="655" spans="6:42" s="64" customFormat="1" x14ac:dyDescent="0.2">
      <c r="F655" s="74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AP655" s="71"/>
    </row>
    <row r="656" spans="6:42" s="64" customFormat="1" x14ac:dyDescent="0.2">
      <c r="F656" s="74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AP656" s="71"/>
    </row>
    <row r="657" spans="6:42" s="64" customFormat="1" x14ac:dyDescent="0.2">
      <c r="F657" s="74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AP657" s="71"/>
    </row>
    <row r="658" spans="6:42" s="64" customFormat="1" x14ac:dyDescent="0.2">
      <c r="F658" s="74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AP658" s="71"/>
    </row>
    <row r="659" spans="6:42" s="64" customFormat="1" x14ac:dyDescent="0.2">
      <c r="F659" s="74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AP659" s="71"/>
    </row>
    <row r="660" spans="6:42" s="64" customFormat="1" x14ac:dyDescent="0.2">
      <c r="F660" s="74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AP660" s="71"/>
    </row>
    <row r="661" spans="6:42" s="64" customFormat="1" x14ac:dyDescent="0.2">
      <c r="F661" s="74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AP661" s="71"/>
    </row>
    <row r="662" spans="6:42" s="64" customFormat="1" x14ac:dyDescent="0.2">
      <c r="F662" s="74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AP662" s="71"/>
    </row>
    <row r="663" spans="6:42" s="64" customFormat="1" x14ac:dyDescent="0.2">
      <c r="F663" s="74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AP663" s="71"/>
    </row>
    <row r="664" spans="6:42" s="64" customFormat="1" x14ac:dyDescent="0.2">
      <c r="F664" s="74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AP664" s="71"/>
    </row>
    <row r="665" spans="6:42" s="64" customFormat="1" x14ac:dyDescent="0.2">
      <c r="F665" s="74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AP665" s="71"/>
    </row>
    <row r="666" spans="6:42" s="64" customFormat="1" x14ac:dyDescent="0.2">
      <c r="F666" s="74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AP666" s="71"/>
    </row>
    <row r="667" spans="6:42" s="64" customFormat="1" x14ac:dyDescent="0.2">
      <c r="F667" s="74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AP667" s="71"/>
    </row>
    <row r="668" spans="6:42" s="64" customFormat="1" x14ac:dyDescent="0.2">
      <c r="F668" s="74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AP668" s="71"/>
    </row>
    <row r="669" spans="6:42" s="64" customFormat="1" x14ac:dyDescent="0.2">
      <c r="F669" s="74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AP669" s="71"/>
    </row>
    <row r="670" spans="6:42" s="64" customFormat="1" x14ac:dyDescent="0.2">
      <c r="F670" s="74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AP670" s="71"/>
    </row>
    <row r="671" spans="6:42" s="64" customFormat="1" x14ac:dyDescent="0.2">
      <c r="F671" s="74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AP671" s="71"/>
    </row>
    <row r="672" spans="6:42" s="64" customFormat="1" x14ac:dyDescent="0.2">
      <c r="F672" s="74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AP672" s="71"/>
    </row>
    <row r="673" spans="6:42" s="64" customFormat="1" x14ac:dyDescent="0.2">
      <c r="F673" s="74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AP673" s="71"/>
    </row>
    <row r="674" spans="6:42" s="64" customFormat="1" x14ac:dyDescent="0.2">
      <c r="F674" s="74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AP674" s="71"/>
    </row>
    <row r="675" spans="6:42" s="64" customFormat="1" x14ac:dyDescent="0.2">
      <c r="F675" s="74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AP675" s="71"/>
    </row>
    <row r="676" spans="6:42" s="64" customFormat="1" x14ac:dyDescent="0.2">
      <c r="F676" s="74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AP676" s="71"/>
    </row>
    <row r="677" spans="6:42" s="64" customFormat="1" x14ac:dyDescent="0.2">
      <c r="F677" s="74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AP677" s="71"/>
    </row>
    <row r="678" spans="6:42" s="64" customFormat="1" x14ac:dyDescent="0.2">
      <c r="F678" s="74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AP678" s="71"/>
    </row>
    <row r="679" spans="6:42" s="64" customFormat="1" x14ac:dyDescent="0.2">
      <c r="F679" s="74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AP679" s="71"/>
    </row>
    <row r="680" spans="6:42" s="64" customFormat="1" x14ac:dyDescent="0.2">
      <c r="F680" s="74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AP680" s="71"/>
    </row>
    <row r="681" spans="6:42" s="64" customFormat="1" x14ac:dyDescent="0.2">
      <c r="F681" s="74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AP681" s="71"/>
    </row>
    <row r="682" spans="6:42" s="64" customFormat="1" x14ac:dyDescent="0.2">
      <c r="F682" s="74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AP682" s="71"/>
    </row>
    <row r="683" spans="6:42" s="64" customFormat="1" x14ac:dyDescent="0.2">
      <c r="F683" s="74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AP683" s="71"/>
    </row>
    <row r="684" spans="6:42" s="64" customFormat="1" x14ac:dyDescent="0.2">
      <c r="F684" s="74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AP684" s="71"/>
    </row>
    <row r="685" spans="6:42" s="64" customFormat="1" x14ac:dyDescent="0.2">
      <c r="F685" s="74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AP685" s="71"/>
    </row>
    <row r="686" spans="6:42" s="64" customFormat="1" x14ac:dyDescent="0.2">
      <c r="F686" s="74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AP686" s="71"/>
    </row>
    <row r="687" spans="6:42" s="64" customFormat="1" x14ac:dyDescent="0.2">
      <c r="F687" s="74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AP687" s="71"/>
    </row>
    <row r="688" spans="6:42" s="64" customFormat="1" x14ac:dyDescent="0.2">
      <c r="F688" s="74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AP688" s="71"/>
    </row>
    <row r="689" spans="6:42" s="64" customFormat="1" x14ac:dyDescent="0.2">
      <c r="F689" s="74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AP689" s="71"/>
    </row>
    <row r="690" spans="6:42" s="64" customFormat="1" x14ac:dyDescent="0.2">
      <c r="F690" s="74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AP690" s="71"/>
    </row>
    <row r="691" spans="6:42" s="64" customFormat="1" x14ac:dyDescent="0.2">
      <c r="F691" s="74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AP691" s="71"/>
    </row>
    <row r="692" spans="6:42" s="64" customFormat="1" x14ac:dyDescent="0.2">
      <c r="F692" s="74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AP692" s="71"/>
    </row>
    <row r="693" spans="6:42" s="64" customFormat="1" x14ac:dyDescent="0.2">
      <c r="F693" s="74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AP693" s="71"/>
    </row>
    <row r="694" spans="6:42" s="64" customFormat="1" x14ac:dyDescent="0.2">
      <c r="F694" s="74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AP694" s="71"/>
    </row>
    <row r="695" spans="6:42" s="64" customFormat="1" x14ac:dyDescent="0.2">
      <c r="F695" s="74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AP695" s="71"/>
    </row>
    <row r="696" spans="6:42" s="64" customFormat="1" x14ac:dyDescent="0.2">
      <c r="F696" s="74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AP696" s="71"/>
    </row>
    <row r="697" spans="6:42" s="64" customFormat="1" x14ac:dyDescent="0.2">
      <c r="F697" s="74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AP697" s="71"/>
    </row>
    <row r="698" spans="6:42" s="64" customFormat="1" x14ac:dyDescent="0.2">
      <c r="F698" s="74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AP698" s="71"/>
    </row>
    <row r="699" spans="6:42" s="64" customFormat="1" x14ac:dyDescent="0.2">
      <c r="F699" s="74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AP699" s="71"/>
    </row>
    <row r="700" spans="6:42" s="64" customFormat="1" x14ac:dyDescent="0.2">
      <c r="F700" s="74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AP700" s="71"/>
    </row>
    <row r="701" spans="6:42" s="64" customFormat="1" x14ac:dyDescent="0.2">
      <c r="F701" s="74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AP701" s="71"/>
    </row>
    <row r="702" spans="6:42" s="64" customFormat="1" x14ac:dyDescent="0.2">
      <c r="F702" s="74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AP702" s="71"/>
    </row>
    <row r="703" spans="6:42" s="64" customFormat="1" x14ac:dyDescent="0.2">
      <c r="F703" s="74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AP703" s="71"/>
    </row>
    <row r="704" spans="6:42" s="64" customFormat="1" x14ac:dyDescent="0.2">
      <c r="F704" s="74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AP704" s="71"/>
    </row>
    <row r="705" spans="6:42" s="64" customFormat="1" x14ac:dyDescent="0.2">
      <c r="F705" s="74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AP705" s="71"/>
    </row>
    <row r="706" spans="6:42" s="64" customFormat="1" x14ac:dyDescent="0.2">
      <c r="F706" s="74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AP706" s="71"/>
    </row>
    <row r="707" spans="6:42" s="64" customFormat="1" x14ac:dyDescent="0.2">
      <c r="F707" s="74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AP707" s="71"/>
    </row>
    <row r="708" spans="6:42" s="64" customFormat="1" x14ac:dyDescent="0.2">
      <c r="F708" s="74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AP708" s="71"/>
    </row>
    <row r="709" spans="6:42" s="64" customFormat="1" x14ac:dyDescent="0.2">
      <c r="F709" s="74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AP709" s="71"/>
    </row>
    <row r="710" spans="6:42" s="64" customFormat="1" x14ac:dyDescent="0.2">
      <c r="F710" s="74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AP710" s="71"/>
    </row>
    <row r="711" spans="6:42" s="64" customFormat="1" x14ac:dyDescent="0.2">
      <c r="F711" s="74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AP711" s="71"/>
    </row>
    <row r="712" spans="6:42" s="64" customFormat="1" x14ac:dyDescent="0.2">
      <c r="F712" s="74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AP712" s="71"/>
    </row>
    <row r="713" spans="6:42" s="64" customFormat="1" x14ac:dyDescent="0.2">
      <c r="F713" s="74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AP713" s="71"/>
    </row>
    <row r="714" spans="6:42" s="64" customFormat="1" x14ac:dyDescent="0.2">
      <c r="F714" s="74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AP714" s="71"/>
    </row>
    <row r="715" spans="6:42" s="64" customFormat="1" x14ac:dyDescent="0.2">
      <c r="F715" s="74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AP715" s="71"/>
    </row>
    <row r="716" spans="6:42" s="64" customFormat="1" x14ac:dyDescent="0.2">
      <c r="F716" s="74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AP716" s="71"/>
    </row>
    <row r="717" spans="6:42" s="64" customFormat="1" x14ac:dyDescent="0.2">
      <c r="F717" s="74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AP717" s="71"/>
    </row>
    <row r="718" spans="6:42" s="64" customFormat="1" x14ac:dyDescent="0.2">
      <c r="F718" s="74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AP718" s="71"/>
    </row>
    <row r="719" spans="6:42" s="64" customFormat="1" x14ac:dyDescent="0.2">
      <c r="F719" s="74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AP719" s="71"/>
    </row>
    <row r="720" spans="6:42" s="64" customFormat="1" x14ac:dyDescent="0.2">
      <c r="F720" s="74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AP720" s="71"/>
    </row>
    <row r="721" spans="6:42" s="64" customFormat="1" x14ac:dyDescent="0.2">
      <c r="F721" s="74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AP721" s="71"/>
    </row>
    <row r="722" spans="6:42" s="64" customFormat="1" x14ac:dyDescent="0.2">
      <c r="F722" s="74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AP722" s="71"/>
    </row>
    <row r="723" spans="6:42" s="64" customFormat="1" x14ac:dyDescent="0.2">
      <c r="F723" s="74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AP723" s="71"/>
    </row>
    <row r="724" spans="6:42" s="64" customFormat="1" x14ac:dyDescent="0.2">
      <c r="F724" s="74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AP724" s="71"/>
    </row>
    <row r="725" spans="6:42" s="64" customFormat="1" x14ac:dyDescent="0.2">
      <c r="F725" s="74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AP725" s="71"/>
    </row>
    <row r="726" spans="6:42" s="64" customFormat="1" x14ac:dyDescent="0.2">
      <c r="F726" s="74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AP726" s="71"/>
    </row>
    <row r="727" spans="6:42" s="64" customFormat="1" x14ac:dyDescent="0.2">
      <c r="F727" s="74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AP727" s="71"/>
    </row>
    <row r="728" spans="6:42" s="64" customFormat="1" x14ac:dyDescent="0.2">
      <c r="F728" s="74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AP728" s="71"/>
    </row>
    <row r="729" spans="6:42" s="64" customFormat="1" x14ac:dyDescent="0.2">
      <c r="F729" s="74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AP729" s="71"/>
    </row>
    <row r="730" spans="6:42" s="64" customFormat="1" x14ac:dyDescent="0.2">
      <c r="F730" s="74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AP730" s="71"/>
    </row>
    <row r="731" spans="6:42" s="64" customFormat="1" x14ac:dyDescent="0.2">
      <c r="F731" s="74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AP731" s="71"/>
    </row>
    <row r="732" spans="6:42" s="64" customFormat="1" x14ac:dyDescent="0.2">
      <c r="F732" s="74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AP732" s="71"/>
    </row>
    <row r="733" spans="6:42" s="64" customFormat="1" x14ac:dyDescent="0.2">
      <c r="F733" s="74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AP733" s="71"/>
    </row>
    <row r="734" spans="6:42" s="64" customFormat="1" x14ac:dyDescent="0.2">
      <c r="F734" s="74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AP734" s="71"/>
    </row>
    <row r="735" spans="6:42" s="64" customFormat="1" x14ac:dyDescent="0.2">
      <c r="F735" s="74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AP735" s="71"/>
    </row>
    <row r="736" spans="6:42" s="64" customFormat="1" x14ac:dyDescent="0.2">
      <c r="F736" s="74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AP736" s="71"/>
    </row>
    <row r="737" spans="6:42" s="64" customFormat="1" x14ac:dyDescent="0.2">
      <c r="F737" s="74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AP737" s="71"/>
    </row>
    <row r="738" spans="6:42" s="64" customFormat="1" x14ac:dyDescent="0.2">
      <c r="F738" s="74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AP738" s="71"/>
    </row>
    <row r="739" spans="6:42" s="64" customFormat="1" x14ac:dyDescent="0.2">
      <c r="F739" s="74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AP739" s="71"/>
    </row>
    <row r="740" spans="6:42" s="64" customFormat="1" x14ac:dyDescent="0.2">
      <c r="F740" s="74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AP740" s="71"/>
    </row>
    <row r="741" spans="6:42" s="64" customFormat="1" x14ac:dyDescent="0.2">
      <c r="F741" s="74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AP741" s="71"/>
    </row>
    <row r="742" spans="6:42" s="64" customFormat="1" x14ac:dyDescent="0.2">
      <c r="F742" s="74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AP742" s="71"/>
    </row>
    <row r="743" spans="6:42" s="64" customFormat="1" x14ac:dyDescent="0.2">
      <c r="F743" s="74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AP743" s="71"/>
    </row>
    <row r="744" spans="6:42" s="64" customFormat="1" x14ac:dyDescent="0.2">
      <c r="F744" s="74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AP744" s="71"/>
    </row>
    <row r="745" spans="6:42" s="64" customFormat="1" x14ac:dyDescent="0.2">
      <c r="F745" s="74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AP745" s="71"/>
    </row>
    <row r="746" spans="6:42" s="64" customFormat="1" x14ac:dyDescent="0.2">
      <c r="F746" s="74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AP746" s="71"/>
    </row>
    <row r="747" spans="6:42" s="64" customFormat="1" x14ac:dyDescent="0.2">
      <c r="F747" s="74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AP747" s="71"/>
    </row>
    <row r="748" spans="6:42" s="64" customFormat="1" x14ac:dyDescent="0.2">
      <c r="F748" s="74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AP748" s="71"/>
    </row>
    <row r="749" spans="6:42" s="64" customFormat="1" x14ac:dyDescent="0.2">
      <c r="F749" s="74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AP749" s="71"/>
    </row>
    <row r="750" spans="6:42" s="64" customFormat="1" x14ac:dyDescent="0.2">
      <c r="F750" s="74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AP750" s="71"/>
    </row>
    <row r="751" spans="6:42" s="64" customFormat="1" x14ac:dyDescent="0.2">
      <c r="F751" s="74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AP751" s="71"/>
    </row>
    <row r="752" spans="6:42" s="64" customFormat="1" x14ac:dyDescent="0.2">
      <c r="F752" s="74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AP752" s="71"/>
    </row>
    <row r="753" spans="6:42" s="64" customFormat="1" x14ac:dyDescent="0.2">
      <c r="F753" s="74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AP753" s="71"/>
    </row>
    <row r="754" spans="6:42" s="64" customFormat="1" x14ac:dyDescent="0.2">
      <c r="F754" s="74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AP754" s="71"/>
    </row>
    <row r="755" spans="6:42" s="64" customFormat="1" x14ac:dyDescent="0.2">
      <c r="F755" s="74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AP755" s="71"/>
    </row>
    <row r="756" spans="6:42" s="64" customFormat="1" x14ac:dyDescent="0.2">
      <c r="F756" s="74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AP756" s="71"/>
    </row>
    <row r="757" spans="6:42" s="64" customFormat="1" x14ac:dyDescent="0.2">
      <c r="F757" s="74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AP757" s="71"/>
    </row>
    <row r="758" spans="6:42" s="64" customFormat="1" x14ac:dyDescent="0.2">
      <c r="F758" s="74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AP758" s="71"/>
    </row>
    <row r="759" spans="6:42" s="64" customFormat="1" x14ac:dyDescent="0.2">
      <c r="F759" s="74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AP759" s="71"/>
    </row>
    <row r="760" spans="6:42" s="64" customFormat="1" x14ac:dyDescent="0.2">
      <c r="F760" s="74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AP760" s="71"/>
    </row>
    <row r="761" spans="6:42" s="64" customFormat="1" x14ac:dyDescent="0.2">
      <c r="F761" s="74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AP761" s="71"/>
    </row>
    <row r="762" spans="6:42" s="64" customFormat="1" x14ac:dyDescent="0.2">
      <c r="F762" s="74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AP762" s="71"/>
    </row>
    <row r="763" spans="6:42" s="64" customFormat="1" x14ac:dyDescent="0.2">
      <c r="F763" s="74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AP763" s="71"/>
    </row>
    <row r="764" spans="6:42" s="64" customFormat="1" x14ac:dyDescent="0.2">
      <c r="F764" s="74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AP764" s="71"/>
    </row>
    <row r="765" spans="6:42" s="64" customFormat="1" x14ac:dyDescent="0.2">
      <c r="F765" s="74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AP765" s="71"/>
    </row>
    <row r="766" spans="6:42" s="64" customFormat="1" x14ac:dyDescent="0.2">
      <c r="F766" s="74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AP766" s="71"/>
    </row>
    <row r="767" spans="6:42" s="64" customFormat="1" x14ac:dyDescent="0.2">
      <c r="F767" s="74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AP767" s="71"/>
    </row>
    <row r="768" spans="6:42" s="64" customFormat="1" x14ac:dyDescent="0.2">
      <c r="F768" s="74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AP768" s="71"/>
    </row>
    <row r="769" spans="6:42" s="64" customFormat="1" x14ac:dyDescent="0.2">
      <c r="F769" s="74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AP769" s="71"/>
    </row>
    <row r="770" spans="6:42" s="64" customFormat="1" x14ac:dyDescent="0.2">
      <c r="F770" s="74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AP770" s="71"/>
    </row>
    <row r="771" spans="6:42" s="64" customFormat="1" x14ac:dyDescent="0.2">
      <c r="F771" s="74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AP771" s="71"/>
    </row>
    <row r="772" spans="6:42" s="64" customFormat="1" x14ac:dyDescent="0.2">
      <c r="F772" s="74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AP772" s="71"/>
    </row>
    <row r="773" spans="6:42" s="64" customFormat="1" x14ac:dyDescent="0.2">
      <c r="F773" s="74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AP773" s="71"/>
    </row>
    <row r="774" spans="6:42" s="64" customFormat="1" x14ac:dyDescent="0.2">
      <c r="F774" s="74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AP774" s="71"/>
    </row>
    <row r="775" spans="6:42" s="64" customFormat="1" x14ac:dyDescent="0.2">
      <c r="F775" s="74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AP775" s="71"/>
    </row>
    <row r="776" spans="6:42" s="64" customFormat="1" x14ac:dyDescent="0.2">
      <c r="F776" s="74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AP776" s="71"/>
    </row>
    <row r="777" spans="6:42" s="64" customFormat="1" x14ac:dyDescent="0.2">
      <c r="F777" s="74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AP777" s="71"/>
    </row>
    <row r="778" spans="6:42" s="64" customFormat="1" x14ac:dyDescent="0.2">
      <c r="F778" s="74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AP778" s="71"/>
    </row>
    <row r="779" spans="6:42" s="64" customFormat="1" x14ac:dyDescent="0.2">
      <c r="F779" s="74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AP779" s="71"/>
    </row>
    <row r="780" spans="6:42" s="64" customFormat="1" x14ac:dyDescent="0.2">
      <c r="F780" s="74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AP780" s="71"/>
    </row>
    <row r="781" spans="6:42" s="64" customFormat="1" x14ac:dyDescent="0.2">
      <c r="F781" s="74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AP781" s="71"/>
    </row>
    <row r="782" spans="6:42" s="64" customFormat="1" x14ac:dyDescent="0.2">
      <c r="F782" s="74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AP782" s="71"/>
    </row>
    <row r="783" spans="6:42" s="64" customFormat="1" x14ac:dyDescent="0.2">
      <c r="F783" s="74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AP783" s="71"/>
    </row>
    <row r="784" spans="6:42" s="64" customFormat="1" x14ac:dyDescent="0.2">
      <c r="F784" s="74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AP784" s="71"/>
    </row>
    <row r="785" spans="6:6" x14ac:dyDescent="0.2">
      <c r="F785" s="75"/>
    </row>
    <row r="867" spans="3:3" x14ac:dyDescent="0.2">
      <c r="C867">
        <v>0</v>
      </c>
    </row>
  </sheetData>
  <mergeCells count="1">
    <mergeCell ref="AQ2:AV2"/>
  </mergeCells>
  <pageMargins left="0.70866141732283472" right="0.70866141732283472" top="0.74803149606299213" bottom="0.74803149606299213" header="0.31496062992125984" footer="0.31496062992125984"/>
  <pageSetup paperSize="9" scale="39" fitToHeight="40" orientation="landscape" r:id="rId1"/>
  <headerFooter>
    <oddFooter xml:space="preserve">&amp;C&amp;"-,מודגש"&amp;22
&amp;P+56
&amp;18
</oddFooter>
  </headerFooter>
  <rowBreaks count="10" manualBreakCount="10">
    <brk id="10" max="16383" man="1"/>
    <brk id="26" min="4" max="39" man="1"/>
    <brk id="103" min="4" max="39" man="1"/>
    <brk id="170" min="4" max="39" man="1"/>
    <brk id="201" min="4" max="39" man="1"/>
    <brk id="404" min="4" max="39" man="1"/>
    <brk id="433" min="4" max="39" man="1"/>
    <brk id="438" min="4" max="39" man="1"/>
    <brk id="451" min="4" max="39" man="1"/>
    <brk id="467" min="4" max="39" man="1"/>
  </rowBreak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29D0208F4E8F548BE0B23AE035E94C8" ma:contentTypeVersion="1" ma:contentTypeDescription="צור מסמך חדש." ma:contentTypeScope="" ma:versionID="2cbe74b42b2bca656d10eb92b268def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75d0be1c5bbf6cd520794c7c6a47399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BC15EB-5C3A-46BC-80D6-A0B03307C3D0}"/>
</file>

<file path=customXml/itemProps2.xml><?xml version="1.0" encoding="utf-8"?>
<ds:datastoreItem xmlns:ds="http://schemas.openxmlformats.org/officeDocument/2006/customXml" ds:itemID="{82D1AF9A-179B-4190-97F9-545B80E986E6}"/>
</file>

<file path=customXml/itemProps3.xml><?xml version="1.0" encoding="utf-8"?>
<ds:datastoreItem xmlns:ds="http://schemas.openxmlformats.org/officeDocument/2006/customXml" ds:itemID="{F42ECA03-EBB5-4BE8-94F5-334144B5B0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6</vt:i4>
      </vt:variant>
    </vt:vector>
  </HeadingPairs>
  <TitlesOfParts>
    <vt:vector size="9" baseType="lpstr">
      <vt:lpstr>ריכוז מינהלים לספר</vt:lpstr>
      <vt:lpstr>ריכוז מחלקות לספר</vt:lpstr>
      <vt:lpstr>תקציב מפורט לספר </vt:lpstr>
      <vt:lpstr>'ריכוז מחלקות לספר'!WPrint_Area_W</vt:lpstr>
      <vt:lpstr>'ריכוז מינהלים לספר'!WPrint_Area_W</vt:lpstr>
      <vt:lpstr>'תקציב מפורט לספר '!WPrint_Area_W</vt:lpstr>
      <vt:lpstr>'ריכוז מחלקות לספר'!WPrint_TitlesW</vt:lpstr>
      <vt:lpstr>'ריכוז מינהלים לספר'!WPrint_TitlesW</vt:lpstr>
      <vt:lpstr>'תקציב מפורט לספר 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תקציב פיתוח לשנת 2019</dc:title>
  <dc:creator>הראל תימור</dc:creator>
  <cp:lastModifiedBy>בן דוד דביר</cp:lastModifiedBy>
  <cp:lastPrinted>2019-01-31T10:57:44Z</cp:lastPrinted>
  <dcterms:created xsi:type="dcterms:W3CDTF">2019-01-10T07:07:40Z</dcterms:created>
  <dcterms:modified xsi:type="dcterms:W3CDTF">2019-02-26T08:30:29Z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0x010100329D0208F4E8F548BE0B23AE035E94C8</vt:lpwstr>
  </property>
</Properties>
</file>