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15480" windowHeight="10245" tabRatio="590"/>
  </bookViews>
  <sheets>
    <sheet name="תקציב" sheetId="1" r:id="rId1"/>
    <sheet name="ריכוזים" sheetId="2" r:id="rId2"/>
    <sheet name="ריכוזי אגפים" sheetId="3" r:id="rId3"/>
  </sheets>
  <definedNames>
    <definedName name="_xlnm.Print_Area" localSheetId="2">'ריכוזי אגפים'!$B$4:$J$53</definedName>
    <definedName name="_xlnm.Print_Area" localSheetId="1">ריכוזים!$B$6:$J$15</definedName>
    <definedName name="_xlnm.Print_Area" localSheetId="0">תקציב!$F$8:$O$482</definedName>
    <definedName name="_xlnm.Print_Titles" localSheetId="2">'ריכוזי אגפים'!$3:$3</definedName>
    <definedName name="_xlnm.Print_Titles" localSheetId="0">תקציב!$6:$7</definedName>
  </definedNames>
  <calcPr calcId="145621"/>
</workbook>
</file>

<file path=xl/calcChain.xml><?xml version="1.0" encoding="utf-8"?>
<calcChain xmlns="http://schemas.openxmlformats.org/spreadsheetml/2006/main">
  <c r="N190" i="1" l="1"/>
  <c r="N192" i="1" s="1"/>
  <c r="J25" i="3" s="1"/>
  <c r="K251" i="1"/>
  <c r="M239" i="1"/>
  <c r="O239" i="1" s="1"/>
  <c r="M161" i="1"/>
  <c r="N161" i="1"/>
  <c r="Z161" i="1" s="1"/>
  <c r="M116" i="1"/>
  <c r="N116" i="1" s="1"/>
  <c r="M420" i="1"/>
  <c r="Z420" i="1" s="1"/>
  <c r="M419" i="1"/>
  <c r="Z419" i="1" s="1"/>
  <c r="Z421" i="1"/>
  <c r="H376" i="1"/>
  <c r="N376" i="1"/>
  <c r="K125" i="1"/>
  <c r="Z125" i="1"/>
  <c r="J398" i="1"/>
  <c r="I398" i="1"/>
  <c r="I401" i="1" s="1"/>
  <c r="E43" i="3" s="1"/>
  <c r="Z474" i="1"/>
  <c r="Z473" i="1"/>
  <c r="Z469" i="1"/>
  <c r="Z465" i="1"/>
  <c r="Z462" i="1"/>
  <c r="Z461" i="1"/>
  <c r="Z460" i="1"/>
  <c r="Z453" i="1"/>
  <c r="Z449" i="1"/>
  <c r="Z442" i="1"/>
  <c r="Z425" i="1"/>
  <c r="Z424" i="1"/>
  <c r="Z422" i="1"/>
  <c r="Z408" i="1"/>
  <c r="Z403" i="1"/>
  <c r="Z400" i="1"/>
  <c r="Z396" i="1"/>
  <c r="Z393" i="1"/>
  <c r="Z391" i="1"/>
  <c r="Z389" i="1"/>
  <c r="Z386" i="1"/>
  <c r="Z385" i="1"/>
  <c r="Z384" i="1"/>
  <c r="Z381" i="1"/>
  <c r="Z379" i="1"/>
  <c r="Z377" i="1"/>
  <c r="Z376" i="1"/>
  <c r="Z375" i="1"/>
  <c r="Z372" i="1"/>
  <c r="Z371" i="1"/>
  <c r="Z365" i="1"/>
  <c r="Z360" i="1"/>
  <c r="Z357" i="1"/>
  <c r="Z355" i="1"/>
  <c r="Z349" i="1"/>
  <c r="Z347" i="1"/>
  <c r="Z346" i="1"/>
  <c r="Z345" i="1"/>
  <c r="Z344" i="1"/>
  <c r="Z343" i="1"/>
  <c r="Z338" i="1"/>
  <c r="Z336" i="1"/>
  <c r="Z332" i="1"/>
  <c r="Z329" i="1"/>
  <c r="Z319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297" i="1"/>
  <c r="Z294" i="1"/>
  <c r="Z288" i="1"/>
  <c r="Z282" i="1"/>
  <c r="Z280" i="1"/>
  <c r="Z278" i="1"/>
  <c r="Z274" i="1"/>
  <c r="Z267" i="1"/>
  <c r="Z263" i="1"/>
  <c r="Z260" i="1"/>
  <c r="Z259" i="1"/>
  <c r="Z258" i="1"/>
  <c r="Z256" i="1"/>
  <c r="Z250" i="1"/>
  <c r="Z233" i="1"/>
  <c r="Z232" i="1"/>
  <c r="Z230" i="1"/>
  <c r="Z224" i="1"/>
  <c r="Z222" i="1"/>
  <c r="Z221" i="1"/>
  <c r="Z220" i="1"/>
  <c r="Z218" i="1"/>
  <c r="Z217" i="1"/>
  <c r="Z211" i="1"/>
  <c r="Z210" i="1"/>
  <c r="Z208" i="1"/>
  <c r="Z200" i="1"/>
  <c r="Z193" i="1"/>
  <c r="Z185" i="1"/>
  <c r="Z184" i="1"/>
  <c r="Z178" i="1"/>
  <c r="Z176" i="1"/>
  <c r="Z174" i="1"/>
  <c r="Z173" i="1"/>
  <c r="Z172" i="1"/>
  <c r="Z171" i="1"/>
  <c r="Z159" i="1"/>
  <c r="Z158" i="1"/>
  <c r="Z157" i="1"/>
  <c r="Z156" i="1"/>
  <c r="Z153" i="1"/>
  <c r="Z145" i="1"/>
  <c r="Z140" i="1"/>
  <c r="Z137" i="1"/>
  <c r="Z129" i="1"/>
  <c r="Z126" i="1"/>
  <c r="Z115" i="1"/>
  <c r="Z104" i="1"/>
  <c r="Z91" i="1"/>
  <c r="Z83" i="1"/>
  <c r="Z82" i="1"/>
  <c r="Z81" i="1"/>
  <c r="Z74" i="1"/>
  <c r="Z72" i="1"/>
  <c r="Z70" i="1"/>
  <c r="Z65" i="1"/>
  <c r="Z62" i="1"/>
  <c r="Z59" i="1"/>
  <c r="Z58" i="1"/>
  <c r="Z55" i="1"/>
  <c r="Z51" i="1"/>
  <c r="Z48" i="1"/>
  <c r="Z45" i="1"/>
  <c r="Z44" i="1"/>
  <c r="Z43" i="1"/>
  <c r="Z37" i="1"/>
  <c r="Z36" i="1"/>
  <c r="Z31" i="1"/>
  <c r="Z28" i="1"/>
  <c r="Z27" i="1"/>
  <c r="Z26" i="1"/>
  <c r="Z25" i="1"/>
  <c r="Z22" i="1"/>
  <c r="Z21" i="1"/>
  <c r="Z19" i="1"/>
  <c r="Z12" i="1"/>
  <c r="Z11" i="1"/>
  <c r="N127" i="1"/>
  <c r="K122" i="1"/>
  <c r="N162" i="1"/>
  <c r="Z162" i="1"/>
  <c r="M84" i="1"/>
  <c r="N67" i="1"/>
  <c r="L287" i="1"/>
  <c r="N387" i="1"/>
  <c r="Z387" i="1" s="1"/>
  <c r="M102" i="1"/>
  <c r="L189" i="1"/>
  <c r="L247" i="1"/>
  <c r="Z247" i="1"/>
  <c r="K255" i="1"/>
  <c r="L257" i="1"/>
  <c r="L295" i="1"/>
  <c r="L323" i="1"/>
  <c r="J49" i="1"/>
  <c r="Z49" i="1" s="1"/>
  <c r="M340" i="1"/>
  <c r="M415" i="1"/>
  <c r="L264" i="1"/>
  <c r="L300" i="1"/>
  <c r="M300" i="1" s="1"/>
  <c r="Z300" i="1" s="1"/>
  <c r="L237" i="1"/>
  <c r="L17" i="1"/>
  <c r="Z17" i="1" s="1"/>
  <c r="L234" i="1"/>
  <c r="M475" i="1"/>
  <c r="Z475" i="1" s="1"/>
  <c r="M417" i="1"/>
  <c r="N416" i="1"/>
  <c r="N409" i="1"/>
  <c r="M406" i="1"/>
  <c r="M405" i="1"/>
  <c r="O405" i="1" s="1"/>
  <c r="M404" i="1"/>
  <c r="Z404" i="1"/>
  <c r="M397" i="1"/>
  <c r="N395" i="1"/>
  <c r="M270" i="1"/>
  <c r="Z270" i="1" s="1"/>
  <c r="M194" i="1"/>
  <c r="M149" i="1"/>
  <c r="M123" i="1"/>
  <c r="O49" i="1"/>
  <c r="M34" i="1"/>
  <c r="M13" i="1"/>
  <c r="Z13" i="1"/>
  <c r="M47" i="3"/>
  <c r="M40" i="3"/>
  <c r="M24" i="3"/>
  <c r="M13" i="3"/>
  <c r="M5" i="3"/>
  <c r="O162" i="1"/>
  <c r="M166" i="1"/>
  <c r="Z166" i="1"/>
  <c r="L321" i="1"/>
  <c r="L296" i="1"/>
  <c r="M283" i="1"/>
  <c r="Z283" i="1" s="1"/>
  <c r="K244" i="1"/>
  <c r="Z244" i="1" s="1"/>
  <c r="L46" i="1"/>
  <c r="K399" i="1"/>
  <c r="N382" i="1"/>
  <c r="Z382" i="1" s="1"/>
  <c r="L243" i="1"/>
  <c r="N352" i="1"/>
  <c r="Z352" i="1" s="1"/>
  <c r="N351" i="1"/>
  <c r="Z351" i="1" s="1"/>
  <c r="M350" i="1"/>
  <c r="N333" i="1"/>
  <c r="N334" i="1" s="1"/>
  <c r="J33" i="3" s="1"/>
  <c r="Z333" i="1"/>
  <c r="L245" i="1"/>
  <c r="Z245" i="1" s="1"/>
  <c r="M181" i="1"/>
  <c r="N181" i="1" s="1"/>
  <c r="N179" i="1"/>
  <c r="M180" i="1"/>
  <c r="N180" i="1" s="1"/>
  <c r="N170" i="1"/>
  <c r="Z170" i="1"/>
  <c r="M120" i="1"/>
  <c r="N113" i="1"/>
  <c r="O113" i="1" s="1"/>
  <c r="Z113" i="1"/>
  <c r="N87" i="1"/>
  <c r="Z87" i="1"/>
  <c r="N86" i="1"/>
  <c r="O86" i="1" s="1"/>
  <c r="L42" i="1"/>
  <c r="O42" i="1" s="1"/>
  <c r="Z42" i="1"/>
  <c r="L41" i="1"/>
  <c r="Z41" i="1" s="1"/>
  <c r="L32" i="1"/>
  <c r="O32" i="1" s="1"/>
  <c r="K18" i="1"/>
  <c r="G6" i="3" s="1"/>
  <c r="N16" i="1"/>
  <c r="O16" i="1"/>
  <c r="N14" i="1"/>
  <c r="O14" i="1" s="1"/>
  <c r="K19" i="2"/>
  <c r="M10" i="1"/>
  <c r="I4" i="3" s="1"/>
  <c r="L10" i="1"/>
  <c r="H6" i="2" s="1"/>
  <c r="K10" i="1"/>
  <c r="G4" i="3"/>
  <c r="J10" i="1"/>
  <c r="F4" i="3"/>
  <c r="I10" i="1"/>
  <c r="E4" i="3" s="1"/>
  <c r="H475" i="1"/>
  <c r="H480" i="1" s="1"/>
  <c r="H481" i="1" s="1"/>
  <c r="D14" i="2" s="1"/>
  <c r="H470" i="1"/>
  <c r="H471" i="1" s="1"/>
  <c r="J459" i="1"/>
  <c r="Z459" i="1" s="1"/>
  <c r="O459" i="1"/>
  <c r="F454" i="1"/>
  <c r="F455" i="1" s="1"/>
  <c r="F456" i="1" s="1"/>
  <c r="F457" i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H415" i="1"/>
  <c r="H413" i="1"/>
  <c r="H423" i="1" s="1"/>
  <c r="D46" i="3" s="1"/>
  <c r="H406" i="1"/>
  <c r="H405" i="1"/>
  <c r="H404" i="1"/>
  <c r="F394" i="1"/>
  <c r="F395" i="1" s="1"/>
  <c r="F396" i="1" s="1"/>
  <c r="F397" i="1" s="1"/>
  <c r="F398" i="1" s="1"/>
  <c r="F399" i="1" s="1"/>
  <c r="F400" i="1" s="1"/>
  <c r="H391" i="1"/>
  <c r="H390" i="1"/>
  <c r="H388" i="1"/>
  <c r="H387" i="1"/>
  <c r="H386" i="1"/>
  <c r="H392" i="1" s="1"/>
  <c r="H384" i="1"/>
  <c r="H383" i="1"/>
  <c r="H378" i="1"/>
  <c r="O377" i="1"/>
  <c r="W377" i="1"/>
  <c r="H373" i="1"/>
  <c r="H367" i="1"/>
  <c r="H369" i="1" s="1"/>
  <c r="D38" i="3" s="1"/>
  <c r="H362" i="1"/>
  <c r="H361" i="1"/>
  <c r="H364" i="1" s="1"/>
  <c r="D37" i="3" s="1"/>
  <c r="H353" i="1"/>
  <c r="H351" i="1"/>
  <c r="H350" i="1"/>
  <c r="H339" i="1"/>
  <c r="H333" i="1"/>
  <c r="H334" i="1" s="1"/>
  <c r="D33" i="3" s="1"/>
  <c r="F333" i="1"/>
  <c r="H327" i="1"/>
  <c r="H326" i="1"/>
  <c r="H325" i="1"/>
  <c r="H323" i="1"/>
  <c r="J303" i="1"/>
  <c r="H302" i="1"/>
  <c r="H301" i="1"/>
  <c r="H300" i="1"/>
  <c r="H298" i="1"/>
  <c r="H296" i="1"/>
  <c r="H292" i="1"/>
  <c r="H289" i="1"/>
  <c r="H287" i="1"/>
  <c r="H286" i="1"/>
  <c r="H285" i="1"/>
  <c r="H284" i="1"/>
  <c r="H283" i="1"/>
  <c r="H277" i="1"/>
  <c r="H273" i="1"/>
  <c r="H272" i="1"/>
  <c r="H269" i="1"/>
  <c r="H268" i="1"/>
  <c r="H279" i="1" s="1"/>
  <c r="D30" i="3" s="1"/>
  <c r="H264" i="1"/>
  <c r="H266" i="1"/>
  <c r="D29" i="3" s="1"/>
  <c r="H260" i="1"/>
  <c r="H254" i="1"/>
  <c r="H253" i="1"/>
  <c r="H252" i="1"/>
  <c r="H249" i="1"/>
  <c r="H248" i="1"/>
  <c r="H246" i="1"/>
  <c r="H245" i="1"/>
  <c r="H244" i="1"/>
  <c r="H243" i="1"/>
  <c r="H242" i="1"/>
  <c r="H240" i="1"/>
  <c r="H238" i="1"/>
  <c r="H237" i="1"/>
  <c r="H236" i="1"/>
  <c r="H235" i="1"/>
  <c r="H234" i="1"/>
  <c r="H228" i="1"/>
  <c r="J227" i="1"/>
  <c r="J231" i="1" s="1"/>
  <c r="F27" i="3" s="1"/>
  <c r="H227" i="1"/>
  <c r="H209" i="1"/>
  <c r="H223" i="1" s="1"/>
  <c r="D26" i="3" s="1"/>
  <c r="H195" i="1"/>
  <c r="H194" i="1"/>
  <c r="H188" i="1"/>
  <c r="H187" i="1"/>
  <c r="H186" i="1"/>
  <c r="H181" i="1"/>
  <c r="H180" i="1"/>
  <c r="H179" i="1"/>
  <c r="H177" i="1"/>
  <c r="M169" i="1"/>
  <c r="H169" i="1"/>
  <c r="H168" i="1"/>
  <c r="H175" i="1" s="1"/>
  <c r="D21" i="3" s="1"/>
  <c r="H166" i="1"/>
  <c r="H134" i="1"/>
  <c r="H136" i="1" s="1"/>
  <c r="D17" i="3" s="1"/>
  <c r="H131" i="1"/>
  <c r="F130" i="1"/>
  <c r="F131" i="1" s="1"/>
  <c r="F132" i="1" s="1"/>
  <c r="F133" i="1" s="1"/>
  <c r="F134" i="1" s="1"/>
  <c r="F135" i="1" s="1"/>
  <c r="H117" i="1"/>
  <c r="H116" i="1"/>
  <c r="O115" i="1"/>
  <c r="H93" i="1"/>
  <c r="H103" i="1" s="1"/>
  <c r="D15" i="3" s="1"/>
  <c r="H86" i="1"/>
  <c r="H85" i="1"/>
  <c r="H84" i="1"/>
  <c r="J57" i="1"/>
  <c r="H76" i="1"/>
  <c r="H75" i="1"/>
  <c r="H71" i="1"/>
  <c r="H69" i="1"/>
  <c r="H68" i="1"/>
  <c r="H67" i="1"/>
  <c r="H66" i="1"/>
  <c r="F66" i="1"/>
  <c r="F67" i="1" s="1"/>
  <c r="F68" i="1" s="1"/>
  <c r="F69" i="1" s="1"/>
  <c r="F70" i="1" s="1"/>
  <c r="F71" i="1"/>
  <c r="F72" i="1" s="1"/>
  <c r="F73" i="1"/>
  <c r="F74" i="1"/>
  <c r="F75" i="1" s="1"/>
  <c r="F76" i="1" s="1"/>
  <c r="F77" i="1" s="1"/>
  <c r="F78" i="1" s="1"/>
  <c r="O48" i="1"/>
  <c r="O45" i="1"/>
  <c r="O44" i="1"/>
  <c r="O43" i="1"/>
  <c r="O37" i="1"/>
  <c r="O36" i="1"/>
  <c r="O28" i="1"/>
  <c r="O27" i="1"/>
  <c r="O26" i="1"/>
  <c r="O22" i="1"/>
  <c r="O21" i="1"/>
  <c r="H61" i="1"/>
  <c r="H64" i="1" s="1"/>
  <c r="D10" i="3" s="1"/>
  <c r="H46" i="1"/>
  <c r="H42" i="1"/>
  <c r="H41" i="1"/>
  <c r="H40" i="1"/>
  <c r="H33" i="1"/>
  <c r="H50" i="1" s="1"/>
  <c r="D8" i="3" s="1"/>
  <c r="F32" i="1"/>
  <c r="F33" i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H24" i="1"/>
  <c r="H23" i="1"/>
  <c r="H20" i="1"/>
  <c r="H14" i="1"/>
  <c r="H18" i="1"/>
  <c r="D6" i="3" s="1"/>
  <c r="N9" i="1"/>
  <c r="Z9" i="1"/>
  <c r="H9" i="1"/>
  <c r="H10" i="1" s="1"/>
  <c r="O421" i="1"/>
  <c r="O309" i="1"/>
  <c r="O220" i="1"/>
  <c r="M328" i="1"/>
  <c r="O328" i="1" s="1"/>
  <c r="Z328" i="1"/>
  <c r="K261" i="1"/>
  <c r="O260" i="1"/>
  <c r="O288" i="1"/>
  <c r="O308" i="1"/>
  <c r="O389" i="1"/>
  <c r="M388" i="1"/>
  <c r="O391" i="1"/>
  <c r="O382" i="1"/>
  <c r="O385" i="1"/>
  <c r="O384" i="1"/>
  <c r="N390" i="1"/>
  <c r="Z390" i="1" s="1"/>
  <c r="M383" i="1"/>
  <c r="L63" i="1"/>
  <c r="Z63" i="1" s="1"/>
  <c r="N374" i="1"/>
  <c r="Z374" i="1" s="1"/>
  <c r="O379" i="1"/>
  <c r="N378" i="1"/>
  <c r="Z378" i="1"/>
  <c r="O376" i="1"/>
  <c r="N373" i="1"/>
  <c r="O375" i="1"/>
  <c r="M477" i="1"/>
  <c r="M476" i="1"/>
  <c r="I478" i="1"/>
  <c r="M478" i="1" s="1"/>
  <c r="O478" i="1" s="1"/>
  <c r="I479" i="1"/>
  <c r="K479" i="1" s="1"/>
  <c r="N418" i="1"/>
  <c r="Z418" i="1" s="1"/>
  <c r="M412" i="1"/>
  <c r="Z412" i="1"/>
  <c r="K411" i="1"/>
  <c r="Z411" i="1"/>
  <c r="J410" i="1"/>
  <c r="Z410" i="1" s="1"/>
  <c r="O422" i="1"/>
  <c r="O404" i="1"/>
  <c r="J363" i="1"/>
  <c r="J364" i="1" s="1"/>
  <c r="F37" i="3" s="1"/>
  <c r="J361" i="1"/>
  <c r="O178" i="1"/>
  <c r="N177" i="1"/>
  <c r="J440" i="1"/>
  <c r="J439" i="1"/>
  <c r="J438" i="1"/>
  <c r="J437" i="1"/>
  <c r="Z437" i="1" s="1"/>
  <c r="J436" i="1"/>
  <c r="Z436" i="1" s="1"/>
  <c r="J435" i="1"/>
  <c r="Z435" i="1" s="1"/>
  <c r="J434" i="1"/>
  <c r="Z434" i="1" s="1"/>
  <c r="J433" i="1"/>
  <c r="K433" i="1" s="1"/>
  <c r="O433" i="1" s="1"/>
  <c r="J432" i="1"/>
  <c r="J430" i="1"/>
  <c r="K430" i="1" s="1"/>
  <c r="O430" i="1"/>
  <c r="J429" i="1"/>
  <c r="K429" i="1" s="1"/>
  <c r="J428" i="1"/>
  <c r="J441" i="1" s="1"/>
  <c r="F48" i="3" s="1"/>
  <c r="J427" i="1"/>
  <c r="J426" i="1"/>
  <c r="K426" i="1"/>
  <c r="Z426" i="1" s="1"/>
  <c r="J431" i="1"/>
  <c r="Z431" i="1" s="1"/>
  <c r="O174" i="1"/>
  <c r="O173" i="1"/>
  <c r="O172" i="1"/>
  <c r="N165" i="1"/>
  <c r="J160" i="1"/>
  <c r="O171" i="1"/>
  <c r="M168" i="1"/>
  <c r="Z168" i="1" s="1"/>
  <c r="M167" i="1"/>
  <c r="Z167" i="1"/>
  <c r="O166" i="1"/>
  <c r="M164" i="1"/>
  <c r="Z164" i="1" s="1"/>
  <c r="N163" i="1"/>
  <c r="O159" i="1"/>
  <c r="O158" i="1"/>
  <c r="O157" i="1"/>
  <c r="O156" i="1"/>
  <c r="M155" i="1"/>
  <c r="Z155" i="1" s="1"/>
  <c r="M154" i="1"/>
  <c r="M175" i="1" s="1"/>
  <c r="I21" i="3" s="1"/>
  <c r="O462" i="1"/>
  <c r="N458" i="1"/>
  <c r="Z458" i="1"/>
  <c r="N457" i="1"/>
  <c r="Z457" i="1" s="1"/>
  <c r="O469" i="1"/>
  <c r="I89" i="1"/>
  <c r="J464" i="1"/>
  <c r="Z464" i="1"/>
  <c r="O460" i="1"/>
  <c r="N470" i="1"/>
  <c r="Z470" i="1" s="1"/>
  <c r="N468" i="1"/>
  <c r="O455" i="1"/>
  <c r="J455" i="1"/>
  <c r="J454" i="1"/>
  <c r="Z454" i="1" s="1"/>
  <c r="O465" i="1"/>
  <c r="O464" i="1"/>
  <c r="J463" i="1"/>
  <c r="Z463" i="1"/>
  <c r="N467" i="1"/>
  <c r="Z467" i="1" s="1"/>
  <c r="N466" i="1"/>
  <c r="O461" i="1"/>
  <c r="J456" i="1"/>
  <c r="Z456" i="1" s="1"/>
  <c r="J447" i="1"/>
  <c r="Z447" i="1"/>
  <c r="J446" i="1"/>
  <c r="Z446" i="1" s="1"/>
  <c r="N443" i="1"/>
  <c r="N452" i="1" s="1"/>
  <c r="J49" i="3" s="1"/>
  <c r="J451" i="1"/>
  <c r="Z451" i="1" s="1"/>
  <c r="J445" i="1"/>
  <c r="Z445" i="1"/>
  <c r="J444" i="1"/>
  <c r="Z444" i="1" s="1"/>
  <c r="O450" i="1"/>
  <c r="J450" i="1"/>
  <c r="Z450" i="1" s="1"/>
  <c r="O456" i="1"/>
  <c r="O454" i="1"/>
  <c r="O453" i="1"/>
  <c r="O451" i="1"/>
  <c r="O449" i="1"/>
  <c r="O448" i="1"/>
  <c r="J448" i="1"/>
  <c r="Z448" i="1" s="1"/>
  <c r="M413" i="1"/>
  <c r="Z413" i="1" s="1"/>
  <c r="M414" i="1"/>
  <c r="Z414" i="1" s="1"/>
  <c r="M150" i="1"/>
  <c r="Z150" i="1"/>
  <c r="M148" i="1"/>
  <c r="Z148" i="1" s="1"/>
  <c r="M147" i="1"/>
  <c r="Z147" i="1" s="1"/>
  <c r="J146" i="1"/>
  <c r="Z146" i="1" s="1"/>
  <c r="M143" i="1"/>
  <c r="J142" i="1"/>
  <c r="J141" i="1"/>
  <c r="J144" i="1" s="1"/>
  <c r="F19" i="3" s="1"/>
  <c r="J138" i="1"/>
  <c r="N138" i="1" s="1"/>
  <c r="N139" i="1" s="1"/>
  <c r="J18" i="3" s="1"/>
  <c r="M135" i="1"/>
  <c r="Z135" i="1"/>
  <c r="M134" i="1"/>
  <c r="Z134" i="1"/>
  <c r="M133" i="1"/>
  <c r="Z133" i="1" s="1"/>
  <c r="J132" i="1"/>
  <c r="Z132" i="1" s="1"/>
  <c r="M131" i="1"/>
  <c r="Z131" i="1" s="1"/>
  <c r="M130" i="1"/>
  <c r="Z130" i="1" s="1"/>
  <c r="M124" i="1"/>
  <c r="J121" i="1"/>
  <c r="Z121" i="1" s="1"/>
  <c r="M119" i="1"/>
  <c r="N118" i="1"/>
  <c r="Z118" i="1" s="1"/>
  <c r="O118" i="1"/>
  <c r="M117" i="1"/>
  <c r="O126" i="1"/>
  <c r="M114" i="1"/>
  <c r="Z114" i="1" s="1"/>
  <c r="M112" i="1"/>
  <c r="N111" i="1"/>
  <c r="M110" i="1"/>
  <c r="N109" i="1"/>
  <c r="N108" i="1"/>
  <c r="Z108" i="1" s="1"/>
  <c r="J107" i="1"/>
  <c r="Z107" i="1" s="1"/>
  <c r="J106" i="1"/>
  <c r="Z106" i="1" s="1"/>
  <c r="N93" i="1"/>
  <c r="Z93" i="1" s="1"/>
  <c r="N105" i="1"/>
  <c r="O105" i="1" s="1"/>
  <c r="N100" i="1"/>
  <c r="O100" i="1" s="1"/>
  <c r="N101" i="1"/>
  <c r="O101" i="1" s="1"/>
  <c r="M98" i="1"/>
  <c r="N99" i="1"/>
  <c r="Z99" i="1" s="1"/>
  <c r="N97" i="1"/>
  <c r="O97" i="1" s="1"/>
  <c r="Z97" i="1"/>
  <c r="N96" i="1"/>
  <c r="M95" i="1"/>
  <c r="Z95" i="1" s="1"/>
  <c r="M94" i="1"/>
  <c r="Z94" i="1"/>
  <c r="N92" i="1"/>
  <c r="Z92" i="1" s="1"/>
  <c r="M88" i="1"/>
  <c r="O87" i="1"/>
  <c r="M85" i="1"/>
  <c r="O396" i="1"/>
  <c r="M394" i="1"/>
  <c r="Z394" i="1"/>
  <c r="U197" i="1"/>
  <c r="K78" i="1"/>
  <c r="Z78" i="1" s="1"/>
  <c r="J77" i="1"/>
  <c r="Z77" i="1"/>
  <c r="N76" i="1"/>
  <c r="N75" i="1"/>
  <c r="Z75" i="1" s="1"/>
  <c r="O75" i="1"/>
  <c r="O74" i="1"/>
  <c r="N73" i="1"/>
  <c r="O70" i="1"/>
  <c r="O72" i="1"/>
  <c r="N71" i="1"/>
  <c r="Z71" i="1" s="1"/>
  <c r="N69" i="1"/>
  <c r="N68" i="1"/>
  <c r="Z68" i="1"/>
  <c r="K66" i="1"/>
  <c r="Z66" i="1"/>
  <c r="O59" i="1"/>
  <c r="O62" i="1"/>
  <c r="L61" i="1"/>
  <c r="Z61" i="1" s="1"/>
  <c r="J60" i="1"/>
  <c r="K60" i="1"/>
  <c r="O60" i="1" s="1"/>
  <c r="O58" i="1"/>
  <c r="L56" i="1"/>
  <c r="J53" i="1"/>
  <c r="K53" i="1" s="1"/>
  <c r="O53" i="1" s="1"/>
  <c r="J52" i="1"/>
  <c r="K40" i="1"/>
  <c r="Z40" i="1" s="1"/>
  <c r="J47" i="1"/>
  <c r="L38" i="1"/>
  <c r="Z38" i="1" s="1"/>
  <c r="K39" i="1"/>
  <c r="Z39" i="1" s="1"/>
  <c r="L35" i="1"/>
  <c r="Z35" i="1" s="1"/>
  <c r="K33" i="1"/>
  <c r="K50" i="1" s="1"/>
  <c r="Z33" i="1"/>
  <c r="O25" i="1"/>
  <c r="K24" i="1"/>
  <c r="Z24" i="1" s="1"/>
  <c r="M29" i="1"/>
  <c r="K23" i="1"/>
  <c r="Z23" i="1" s="1"/>
  <c r="K20" i="1"/>
  <c r="N15" i="1"/>
  <c r="Z15" i="1" s="1"/>
  <c r="M368" i="1"/>
  <c r="Z368" i="1"/>
  <c r="M367" i="1"/>
  <c r="Z367" i="1" s="1"/>
  <c r="M366" i="1"/>
  <c r="Z366" i="1" s="1"/>
  <c r="M358" i="1"/>
  <c r="O355" i="1"/>
  <c r="M354" i="1"/>
  <c r="O354" i="1" s="1"/>
  <c r="Z354" i="1"/>
  <c r="M353" i="1"/>
  <c r="Z353" i="1" s="1"/>
  <c r="O352" i="1"/>
  <c r="J341" i="1"/>
  <c r="Z341" i="1"/>
  <c r="I348" i="1"/>
  <c r="E34" i="3" s="1"/>
  <c r="O347" i="1"/>
  <c r="O346" i="1"/>
  <c r="O345" i="1"/>
  <c r="O344" i="1"/>
  <c r="O343" i="1"/>
  <c r="M342" i="1"/>
  <c r="Z342" i="1" s="1"/>
  <c r="M339" i="1"/>
  <c r="M337" i="1"/>
  <c r="Z337" i="1" s="1"/>
  <c r="I331" i="1"/>
  <c r="E32" i="3" s="1"/>
  <c r="O329" i="1"/>
  <c r="L330" i="1"/>
  <c r="Z330" i="1" s="1"/>
  <c r="M327" i="1"/>
  <c r="Z327" i="1" s="1"/>
  <c r="M326" i="1"/>
  <c r="Z326" i="1"/>
  <c r="M325" i="1"/>
  <c r="Z325" i="1"/>
  <c r="L324" i="1"/>
  <c r="Z324" i="1" s="1"/>
  <c r="M322" i="1"/>
  <c r="L320" i="1"/>
  <c r="L331" i="1" s="1"/>
  <c r="I318" i="1"/>
  <c r="E31" i="3" s="1"/>
  <c r="O317" i="1"/>
  <c r="O316" i="1"/>
  <c r="O315" i="1"/>
  <c r="O314" i="1"/>
  <c r="O313" i="1"/>
  <c r="O312" i="1"/>
  <c r="M302" i="1"/>
  <c r="Z302" i="1" s="1"/>
  <c r="M301" i="1"/>
  <c r="Z301" i="1" s="1"/>
  <c r="M299" i="1"/>
  <c r="Z299" i="1"/>
  <c r="L298" i="1"/>
  <c r="Z298" i="1" s="1"/>
  <c r="O297" i="1"/>
  <c r="O294" i="1"/>
  <c r="M293" i="1"/>
  <c r="Z293" i="1" s="1"/>
  <c r="M292" i="1"/>
  <c r="Z292" i="1" s="1"/>
  <c r="M291" i="1"/>
  <c r="O311" i="1"/>
  <c r="M290" i="1"/>
  <c r="Z290" i="1" s="1"/>
  <c r="M289" i="1"/>
  <c r="Z289" i="1" s="1"/>
  <c r="M286" i="1"/>
  <c r="Z286" i="1"/>
  <c r="M285" i="1"/>
  <c r="Z285" i="1" s="1"/>
  <c r="M284" i="1"/>
  <c r="O310" i="1"/>
  <c r="O307" i="1"/>
  <c r="O306" i="1"/>
  <c r="O305" i="1"/>
  <c r="O304" i="1"/>
  <c r="O282" i="1"/>
  <c r="M281" i="1"/>
  <c r="O278" i="1"/>
  <c r="M277" i="1"/>
  <c r="M276" i="1"/>
  <c r="Z276" i="1" s="1"/>
  <c r="M275" i="1"/>
  <c r="O274" i="1"/>
  <c r="M273" i="1"/>
  <c r="Z273" i="1" s="1"/>
  <c r="M272" i="1"/>
  <c r="Z272" i="1" s="1"/>
  <c r="M271" i="1"/>
  <c r="Z271" i="1" s="1"/>
  <c r="M269" i="1"/>
  <c r="Z269" i="1" s="1"/>
  <c r="M268" i="1"/>
  <c r="M265" i="1"/>
  <c r="O265" i="1" s="1"/>
  <c r="O256" i="1"/>
  <c r="O259" i="1"/>
  <c r="O258" i="1"/>
  <c r="M254" i="1"/>
  <c r="O254" i="1" s="1"/>
  <c r="K253" i="1"/>
  <c r="Z253" i="1" s="1"/>
  <c r="O253" i="1"/>
  <c r="M252" i="1"/>
  <c r="Z252" i="1"/>
  <c r="O252" i="1"/>
  <c r="Z251" i="1"/>
  <c r="O251" i="1"/>
  <c r="O250" i="1"/>
  <c r="M249" i="1"/>
  <c r="Z249" i="1"/>
  <c r="M248" i="1"/>
  <c r="Z248" i="1"/>
  <c r="O247" i="1"/>
  <c r="M246" i="1"/>
  <c r="O244" i="1"/>
  <c r="M242" i="1"/>
  <c r="O242" i="1" s="1"/>
  <c r="M241" i="1"/>
  <c r="M240" i="1"/>
  <c r="Z240" i="1" s="1"/>
  <c r="M238" i="1"/>
  <c r="Z238" i="1" s="1"/>
  <c r="M236" i="1"/>
  <c r="Z236" i="1" s="1"/>
  <c r="M235" i="1"/>
  <c r="Z235" i="1" s="1"/>
  <c r="I231" i="1"/>
  <c r="O230" i="1"/>
  <c r="M229" i="1"/>
  <c r="M228" i="1"/>
  <c r="Z228" i="1"/>
  <c r="O228" i="1"/>
  <c r="M226" i="1"/>
  <c r="Z226" i="1" s="1"/>
  <c r="O226" i="1"/>
  <c r="M225" i="1"/>
  <c r="O208" i="1"/>
  <c r="M196" i="1"/>
  <c r="O222" i="1"/>
  <c r="M219" i="1"/>
  <c r="O218" i="1"/>
  <c r="O217" i="1"/>
  <c r="M216" i="1"/>
  <c r="M215" i="1"/>
  <c r="Z215" i="1"/>
  <c r="O200" i="1"/>
  <c r="M214" i="1"/>
  <c r="O214" i="1" s="1"/>
  <c r="M213" i="1"/>
  <c r="Z213" i="1" s="1"/>
  <c r="M212" i="1"/>
  <c r="Z212" i="1" s="1"/>
  <c r="O211" i="1"/>
  <c r="O210" i="1"/>
  <c r="M209" i="1"/>
  <c r="O209" i="1" s="1"/>
  <c r="Z209" i="1"/>
  <c r="O221" i="1"/>
  <c r="Q223" i="1"/>
  <c r="M207" i="1"/>
  <c r="O207" i="1" s="1"/>
  <c r="M206" i="1"/>
  <c r="Z206" i="1" s="1"/>
  <c r="M205" i="1"/>
  <c r="Z205" i="1" s="1"/>
  <c r="M204" i="1"/>
  <c r="Z204" i="1" s="1"/>
  <c r="M203" i="1"/>
  <c r="Z203" i="1"/>
  <c r="I202" i="1"/>
  <c r="I223" i="1" s="1"/>
  <c r="E26" i="3" s="1"/>
  <c r="M201" i="1"/>
  <c r="M199" i="1"/>
  <c r="M198" i="1"/>
  <c r="Z198" i="1"/>
  <c r="M197" i="1"/>
  <c r="Z197" i="1" s="1"/>
  <c r="M195" i="1"/>
  <c r="M191" i="1"/>
  <c r="M188" i="1"/>
  <c r="M192" i="1" s="1"/>
  <c r="I25" i="3" s="1"/>
  <c r="K187" i="1"/>
  <c r="Z187" i="1"/>
  <c r="N186" i="1"/>
  <c r="Z186" i="1" s="1"/>
  <c r="O463" i="1"/>
  <c r="O447" i="1"/>
  <c r="O446" i="1"/>
  <c r="O445" i="1"/>
  <c r="O444" i="1"/>
  <c r="O437" i="1"/>
  <c r="O436" i="1"/>
  <c r="O435" i="1"/>
  <c r="O434" i="1"/>
  <c r="O431" i="1"/>
  <c r="O410" i="1"/>
  <c r="O341" i="1"/>
  <c r="O160" i="1"/>
  <c r="O146" i="1"/>
  <c r="O141" i="1"/>
  <c r="O132" i="1"/>
  <c r="O121" i="1"/>
  <c r="O107" i="1"/>
  <c r="O106" i="1"/>
  <c r="O89" i="1"/>
  <c r="O77" i="1"/>
  <c r="O47" i="1"/>
  <c r="W378" i="1"/>
  <c r="X378" i="1" s="1"/>
  <c r="W229" i="1"/>
  <c r="X229" i="1" s="1"/>
  <c r="W170" i="1"/>
  <c r="H170" i="1"/>
  <c r="H139" i="1"/>
  <c r="D18" i="3" s="1"/>
  <c r="J480" i="1"/>
  <c r="J481" i="1" s="1"/>
  <c r="F14" i="2" s="1"/>
  <c r="L480" i="1"/>
  <c r="L481" i="1" s="1"/>
  <c r="H52" i="3"/>
  <c r="N480" i="1"/>
  <c r="N481" i="1" s="1"/>
  <c r="J14" i="2" s="1"/>
  <c r="P480" i="1"/>
  <c r="P481" i="1" s="1"/>
  <c r="Q480" i="1"/>
  <c r="Q481" i="1" s="1"/>
  <c r="R480" i="1"/>
  <c r="S480" i="1"/>
  <c r="T480" i="1"/>
  <c r="T481" i="1" s="1"/>
  <c r="U480" i="1"/>
  <c r="U481" i="1"/>
  <c r="V480" i="1"/>
  <c r="I471" i="1"/>
  <c r="E50" i="3" s="1"/>
  <c r="K471" i="1"/>
  <c r="G50" i="3"/>
  <c r="L471" i="1"/>
  <c r="H50" i="3"/>
  <c r="M471" i="1"/>
  <c r="I50" i="3" s="1"/>
  <c r="P471" i="1"/>
  <c r="Q471" i="1"/>
  <c r="Q472" i="1" s="1"/>
  <c r="R471" i="1"/>
  <c r="S471" i="1"/>
  <c r="T471" i="1"/>
  <c r="U471" i="1"/>
  <c r="V471" i="1"/>
  <c r="H452" i="1"/>
  <c r="D49" i="3"/>
  <c r="I452" i="1"/>
  <c r="K452" i="1"/>
  <c r="G49" i="3"/>
  <c r="L452" i="1"/>
  <c r="H49" i="3" s="1"/>
  <c r="M452" i="1"/>
  <c r="I49" i="3" s="1"/>
  <c r="P452" i="1"/>
  <c r="Q452" i="1"/>
  <c r="R452" i="1"/>
  <c r="S452" i="1"/>
  <c r="S472" i="1" s="1"/>
  <c r="T452" i="1"/>
  <c r="U452" i="1"/>
  <c r="V452" i="1"/>
  <c r="H441" i="1"/>
  <c r="D48" i="3" s="1"/>
  <c r="I441" i="1"/>
  <c r="E48" i="3" s="1"/>
  <c r="L441" i="1"/>
  <c r="L472" i="1" s="1"/>
  <c r="M441" i="1"/>
  <c r="I48" i="3"/>
  <c r="N441" i="1"/>
  <c r="P441" i="1"/>
  <c r="P472" i="1" s="1"/>
  <c r="Q441" i="1"/>
  <c r="R441" i="1"/>
  <c r="S441" i="1"/>
  <c r="T441" i="1"/>
  <c r="U441" i="1"/>
  <c r="V441" i="1"/>
  <c r="L423" i="1"/>
  <c r="H46" i="3" s="1"/>
  <c r="H12" i="2"/>
  <c r="P423" i="1"/>
  <c r="Q423" i="1"/>
  <c r="R423" i="1"/>
  <c r="S423" i="1"/>
  <c r="T423" i="1"/>
  <c r="U423" i="1"/>
  <c r="I407" i="1"/>
  <c r="J407" i="1"/>
  <c r="F45" i="3" s="1"/>
  <c r="K407" i="1"/>
  <c r="G11" i="2" s="1"/>
  <c r="G45" i="3"/>
  <c r="L407" i="1"/>
  <c r="N407" i="1"/>
  <c r="J11" i="2" s="1"/>
  <c r="P407" i="1"/>
  <c r="Q407" i="1"/>
  <c r="R407" i="1"/>
  <c r="S407" i="1"/>
  <c r="T407" i="1"/>
  <c r="U407" i="1"/>
  <c r="V407" i="1"/>
  <c r="H401" i="1"/>
  <c r="D43" i="3"/>
  <c r="L401" i="1"/>
  <c r="H43" i="3" s="1"/>
  <c r="P401" i="1"/>
  <c r="Q401" i="1"/>
  <c r="R401" i="1"/>
  <c r="S401" i="1"/>
  <c r="S402" i="1" s="1"/>
  <c r="T401" i="1"/>
  <c r="T402" i="1" s="1"/>
  <c r="U401" i="1"/>
  <c r="V401" i="1"/>
  <c r="J392" i="1"/>
  <c r="F42" i="3" s="1"/>
  <c r="K392" i="1"/>
  <c r="G42" i="3"/>
  <c r="L392" i="1"/>
  <c r="H42" i="3" s="1"/>
  <c r="P392" i="1"/>
  <c r="Q392" i="1"/>
  <c r="Q402" i="1" s="1"/>
  <c r="R392" i="1"/>
  <c r="S392" i="1"/>
  <c r="T392" i="1"/>
  <c r="U392" i="1"/>
  <c r="V392" i="1"/>
  <c r="I380" i="1"/>
  <c r="E41" i="3" s="1"/>
  <c r="J380" i="1"/>
  <c r="F41" i="3"/>
  <c r="K380" i="1"/>
  <c r="G41" i="3" s="1"/>
  <c r="L380" i="1"/>
  <c r="H41" i="3" s="1"/>
  <c r="P380" i="1"/>
  <c r="Q380" i="1"/>
  <c r="R380" i="1"/>
  <c r="S380" i="1"/>
  <c r="T380" i="1"/>
  <c r="U380" i="1"/>
  <c r="V380" i="1"/>
  <c r="I369" i="1"/>
  <c r="E38" i="3" s="1"/>
  <c r="J369" i="1"/>
  <c r="F38" i="3"/>
  <c r="K369" i="1"/>
  <c r="G38" i="3" s="1"/>
  <c r="L369" i="1"/>
  <c r="H38" i="3" s="1"/>
  <c r="N369" i="1"/>
  <c r="J38" i="3" s="1"/>
  <c r="P369" i="1"/>
  <c r="Q369" i="1"/>
  <c r="R369" i="1"/>
  <c r="S369" i="1"/>
  <c r="T369" i="1"/>
  <c r="U369" i="1"/>
  <c r="V369" i="1"/>
  <c r="L364" i="1"/>
  <c r="H37" i="3" s="1"/>
  <c r="M364" i="1"/>
  <c r="I37" i="3" s="1"/>
  <c r="N364" i="1"/>
  <c r="J37" i="3"/>
  <c r="P364" i="1"/>
  <c r="Q364" i="1"/>
  <c r="R364" i="1"/>
  <c r="R370" i="1" s="1"/>
  <c r="S364" i="1"/>
  <c r="T364" i="1"/>
  <c r="U364" i="1"/>
  <c r="V364" i="1"/>
  <c r="H359" i="1"/>
  <c r="D36" i="3" s="1"/>
  <c r="I359" i="1"/>
  <c r="E36" i="3"/>
  <c r="J359" i="1"/>
  <c r="F36" i="3" s="1"/>
  <c r="K359" i="1"/>
  <c r="G36" i="3" s="1"/>
  <c r="L359" i="1"/>
  <c r="H36" i="3" s="1"/>
  <c r="N359" i="1"/>
  <c r="J36" i="3"/>
  <c r="P359" i="1"/>
  <c r="Q359" i="1"/>
  <c r="R359" i="1"/>
  <c r="S359" i="1"/>
  <c r="T359" i="1"/>
  <c r="U359" i="1"/>
  <c r="V359" i="1"/>
  <c r="J356" i="1"/>
  <c r="F35" i="3" s="1"/>
  <c r="K356" i="1"/>
  <c r="G35" i="3" s="1"/>
  <c r="L356" i="1"/>
  <c r="H35" i="3" s="1"/>
  <c r="P356" i="1"/>
  <c r="Q356" i="1"/>
  <c r="R356" i="1"/>
  <c r="S356" i="1"/>
  <c r="S370" i="1" s="1"/>
  <c r="T356" i="1"/>
  <c r="U356" i="1"/>
  <c r="V356" i="1"/>
  <c r="K348" i="1"/>
  <c r="G34" i="3" s="1"/>
  <c r="L348" i="1"/>
  <c r="H34" i="3" s="1"/>
  <c r="P348" i="1"/>
  <c r="Q348" i="1"/>
  <c r="R348" i="1"/>
  <c r="S348" i="1"/>
  <c r="T348" i="1"/>
  <c r="U348" i="1"/>
  <c r="V348" i="1"/>
  <c r="I334" i="1"/>
  <c r="E33" i="3" s="1"/>
  <c r="J334" i="1"/>
  <c r="F33" i="3" s="1"/>
  <c r="K334" i="1"/>
  <c r="G33" i="3"/>
  <c r="L334" i="1"/>
  <c r="H33" i="3" s="1"/>
  <c r="P334" i="1"/>
  <c r="Q334" i="1"/>
  <c r="R334" i="1"/>
  <c r="S334" i="1"/>
  <c r="T334" i="1"/>
  <c r="U334" i="1"/>
  <c r="V334" i="1"/>
  <c r="J331" i="1"/>
  <c r="F32" i="3"/>
  <c r="K331" i="1"/>
  <c r="G32" i="3"/>
  <c r="N331" i="1"/>
  <c r="J32" i="3" s="1"/>
  <c r="P331" i="1"/>
  <c r="Q331" i="1"/>
  <c r="R331" i="1"/>
  <c r="S331" i="1"/>
  <c r="T331" i="1"/>
  <c r="T335" i="1" s="1"/>
  <c r="U331" i="1"/>
  <c r="V331" i="1"/>
  <c r="K318" i="1"/>
  <c r="G31" i="3" s="1"/>
  <c r="N318" i="1"/>
  <c r="J31" i="3" s="1"/>
  <c r="P318" i="1"/>
  <c r="Q318" i="1"/>
  <c r="R318" i="1"/>
  <c r="S318" i="1"/>
  <c r="T318" i="1"/>
  <c r="U318" i="1"/>
  <c r="V318" i="1"/>
  <c r="I279" i="1"/>
  <c r="J279" i="1"/>
  <c r="F30" i="3" s="1"/>
  <c r="K279" i="1"/>
  <c r="G30" i="3" s="1"/>
  <c r="L279" i="1"/>
  <c r="H30" i="3" s="1"/>
  <c r="N279" i="1"/>
  <c r="J30" i="3" s="1"/>
  <c r="P279" i="1"/>
  <c r="Q279" i="1"/>
  <c r="R279" i="1"/>
  <c r="S279" i="1"/>
  <c r="T279" i="1"/>
  <c r="U279" i="1"/>
  <c r="V279" i="1"/>
  <c r="I266" i="1"/>
  <c r="J266" i="1"/>
  <c r="F29" i="3" s="1"/>
  <c r="K266" i="1"/>
  <c r="G29" i="3"/>
  <c r="N266" i="1"/>
  <c r="J29" i="3" s="1"/>
  <c r="P266" i="1"/>
  <c r="Q266" i="1"/>
  <c r="R266" i="1"/>
  <c r="S266" i="1"/>
  <c r="T266" i="1"/>
  <c r="U266" i="1"/>
  <c r="V266" i="1"/>
  <c r="J262" i="1"/>
  <c r="F28" i="3"/>
  <c r="N262" i="1"/>
  <c r="J28" i="3" s="1"/>
  <c r="P262" i="1"/>
  <c r="Q262" i="1"/>
  <c r="R262" i="1"/>
  <c r="S262" i="1"/>
  <c r="T262" i="1"/>
  <c r="U262" i="1"/>
  <c r="V262" i="1"/>
  <c r="K231" i="1"/>
  <c r="G27" i="3"/>
  <c r="L231" i="1"/>
  <c r="H27" i="3" s="1"/>
  <c r="N231" i="1"/>
  <c r="J27" i="3" s="1"/>
  <c r="P231" i="1"/>
  <c r="Q231" i="1"/>
  <c r="R231" i="1"/>
  <c r="X231" i="1" s="1"/>
  <c r="S231" i="1"/>
  <c r="T231" i="1"/>
  <c r="U231" i="1"/>
  <c r="V231" i="1"/>
  <c r="J223" i="1"/>
  <c r="F26" i="3" s="1"/>
  <c r="K223" i="1"/>
  <c r="G26" i="3" s="1"/>
  <c r="L223" i="1"/>
  <c r="H26" i="3" s="1"/>
  <c r="N223" i="1"/>
  <c r="J26" i="3"/>
  <c r="P223" i="1"/>
  <c r="R223" i="1"/>
  <c r="S223" i="1"/>
  <c r="T223" i="1"/>
  <c r="V223" i="1"/>
  <c r="I192" i="1"/>
  <c r="E25" i="3"/>
  <c r="J192" i="1"/>
  <c r="F25" i="3" s="1"/>
  <c r="P192" i="1"/>
  <c r="Q192" i="1"/>
  <c r="R192" i="1"/>
  <c r="S192" i="1"/>
  <c r="T192" i="1"/>
  <c r="U192" i="1"/>
  <c r="V192" i="1"/>
  <c r="H151" i="1"/>
  <c r="D20" i="3" s="1"/>
  <c r="I151" i="1"/>
  <c r="E20" i="3"/>
  <c r="K151" i="1"/>
  <c r="G20" i="3" s="1"/>
  <c r="L151" i="1"/>
  <c r="H20" i="3" s="1"/>
  <c r="N151" i="1"/>
  <c r="J20" i="3"/>
  <c r="P151" i="1"/>
  <c r="Q151" i="1"/>
  <c r="R151" i="1"/>
  <c r="S151" i="1"/>
  <c r="T151" i="1"/>
  <c r="U151" i="1"/>
  <c r="V151" i="1"/>
  <c r="I182" i="1"/>
  <c r="E22" i="3"/>
  <c r="J182" i="1"/>
  <c r="F22" i="3" s="1"/>
  <c r="K182" i="1"/>
  <c r="G22" i="3" s="1"/>
  <c r="L182" i="1"/>
  <c r="H22" i="3" s="1"/>
  <c r="P182" i="1"/>
  <c r="Q182" i="1"/>
  <c r="R182" i="1"/>
  <c r="S182" i="1"/>
  <c r="T182" i="1"/>
  <c r="U182" i="1"/>
  <c r="V182" i="1"/>
  <c r="I175" i="1"/>
  <c r="E21" i="3" s="1"/>
  <c r="K175" i="1"/>
  <c r="G21" i="3"/>
  <c r="L175" i="1"/>
  <c r="H21" i="3"/>
  <c r="P175" i="1"/>
  <c r="Q175" i="1"/>
  <c r="R175" i="1"/>
  <c r="S175" i="1"/>
  <c r="T175" i="1"/>
  <c r="U175" i="1"/>
  <c r="V175" i="1"/>
  <c r="H144" i="1"/>
  <c r="D19" i="3" s="1"/>
  <c r="I144" i="1"/>
  <c r="E19" i="3" s="1"/>
  <c r="K144" i="1"/>
  <c r="G19" i="3" s="1"/>
  <c r="L144" i="1"/>
  <c r="H19" i="3" s="1"/>
  <c r="N144" i="1"/>
  <c r="J19" i="3" s="1"/>
  <c r="P144" i="1"/>
  <c r="Q144" i="1"/>
  <c r="Q152" i="1" s="1"/>
  <c r="Q183" i="1" s="1"/>
  <c r="R144" i="1"/>
  <c r="R152" i="1" s="1"/>
  <c r="S144" i="1"/>
  <c r="T144" i="1"/>
  <c r="U144" i="1"/>
  <c r="V144" i="1"/>
  <c r="I139" i="1"/>
  <c r="E18" i="3"/>
  <c r="K139" i="1"/>
  <c r="G18" i="3" s="1"/>
  <c r="L139" i="1"/>
  <c r="H18" i="3" s="1"/>
  <c r="P139" i="1"/>
  <c r="Q139" i="1"/>
  <c r="R139" i="1"/>
  <c r="S139" i="1"/>
  <c r="T139" i="1"/>
  <c r="U139" i="1"/>
  <c r="V139" i="1"/>
  <c r="I136" i="1"/>
  <c r="E17" i="3"/>
  <c r="K136" i="1"/>
  <c r="G17" i="3" s="1"/>
  <c r="L136" i="1"/>
  <c r="H17" i="3" s="1"/>
  <c r="N136" i="1"/>
  <c r="J17" i="3" s="1"/>
  <c r="P136" i="1"/>
  <c r="Q136" i="1"/>
  <c r="R136" i="1"/>
  <c r="S136" i="1"/>
  <c r="T136" i="1"/>
  <c r="U136" i="1"/>
  <c r="U152" i="1" s="1"/>
  <c r="U183" i="1" s="1"/>
  <c r="V136" i="1"/>
  <c r="I128" i="1"/>
  <c r="E16" i="3"/>
  <c r="K128" i="1"/>
  <c r="G16" i="3" s="1"/>
  <c r="L128" i="1"/>
  <c r="H16" i="3"/>
  <c r="P128" i="1"/>
  <c r="Q128" i="1"/>
  <c r="R128" i="1"/>
  <c r="S128" i="1"/>
  <c r="T128" i="1"/>
  <c r="U128" i="1"/>
  <c r="V128" i="1"/>
  <c r="I103" i="1"/>
  <c r="E15" i="3" s="1"/>
  <c r="J103" i="1"/>
  <c r="F15" i="3" s="1"/>
  <c r="K103" i="1"/>
  <c r="L103" i="1"/>
  <c r="H15" i="3" s="1"/>
  <c r="P103" i="1"/>
  <c r="Q103" i="1"/>
  <c r="R103" i="1"/>
  <c r="S103" i="1"/>
  <c r="T103" i="1"/>
  <c r="U103" i="1"/>
  <c r="V103" i="1"/>
  <c r="K90" i="1"/>
  <c r="G14" i="3" s="1"/>
  <c r="L90" i="1"/>
  <c r="H14" i="3" s="1"/>
  <c r="P90" i="1"/>
  <c r="Q90" i="1"/>
  <c r="R90" i="1"/>
  <c r="S90" i="1"/>
  <c r="T90" i="1"/>
  <c r="T152" i="1" s="1"/>
  <c r="T183" i="1" s="1"/>
  <c r="U90" i="1"/>
  <c r="V90" i="1"/>
  <c r="I79" i="1"/>
  <c r="E11" i="3" s="1"/>
  <c r="L79" i="1"/>
  <c r="H11" i="3"/>
  <c r="P79" i="1"/>
  <c r="Q79" i="1"/>
  <c r="R79" i="1"/>
  <c r="S79" i="1"/>
  <c r="T79" i="1"/>
  <c r="U79" i="1"/>
  <c r="V79" i="1"/>
  <c r="I64" i="1"/>
  <c r="N64" i="1"/>
  <c r="J10" i="3" s="1"/>
  <c r="P64" i="1"/>
  <c r="Q64" i="1"/>
  <c r="R64" i="1"/>
  <c r="S64" i="1"/>
  <c r="T64" i="1"/>
  <c r="U64" i="1"/>
  <c r="V64" i="1"/>
  <c r="H54" i="1"/>
  <c r="D9" i="3" s="1"/>
  <c r="I54" i="1"/>
  <c r="L54" i="1"/>
  <c r="H9" i="3"/>
  <c r="N54" i="1"/>
  <c r="J9" i="3"/>
  <c r="P54" i="1"/>
  <c r="Q54" i="1"/>
  <c r="R54" i="1"/>
  <c r="S54" i="1"/>
  <c r="S80" i="1" s="1"/>
  <c r="T54" i="1"/>
  <c r="U54" i="1"/>
  <c r="V54" i="1"/>
  <c r="I50" i="1"/>
  <c r="E8" i="3" s="1"/>
  <c r="N50" i="1"/>
  <c r="J8" i="3" s="1"/>
  <c r="P50" i="1"/>
  <c r="Q50" i="1"/>
  <c r="R50" i="1"/>
  <c r="S50" i="1"/>
  <c r="T50" i="1"/>
  <c r="U50" i="1"/>
  <c r="V50" i="1"/>
  <c r="V80" i="1" s="1"/>
  <c r="I30" i="1"/>
  <c r="E7" i="3"/>
  <c r="J30" i="1"/>
  <c r="F7" i="3" s="1"/>
  <c r="L30" i="1"/>
  <c r="H7" i="3" s="1"/>
  <c r="N30" i="1"/>
  <c r="J7" i="3" s="1"/>
  <c r="P30" i="1"/>
  <c r="P80" i="1" s="1"/>
  <c r="Q30" i="1"/>
  <c r="R30" i="1"/>
  <c r="S30" i="1"/>
  <c r="T30" i="1"/>
  <c r="U30" i="1"/>
  <c r="V30" i="1"/>
  <c r="I18" i="1"/>
  <c r="E6" i="3"/>
  <c r="J18" i="1"/>
  <c r="F6" i="3" s="1"/>
  <c r="L18" i="1"/>
  <c r="H6" i="3" s="1"/>
  <c r="P18" i="1"/>
  <c r="Q18" i="1"/>
  <c r="R18" i="1"/>
  <c r="S18" i="1"/>
  <c r="T18" i="1"/>
  <c r="U18" i="1"/>
  <c r="V18" i="1"/>
  <c r="F6" i="2"/>
  <c r="G6" i="2"/>
  <c r="P10" i="1"/>
  <c r="Q10" i="1"/>
  <c r="R10" i="1"/>
  <c r="S10" i="1"/>
  <c r="T10" i="1"/>
  <c r="U10" i="1"/>
  <c r="V10" i="1"/>
  <c r="W476" i="1"/>
  <c r="X476" i="1" s="1"/>
  <c r="W477" i="1"/>
  <c r="X477" i="1"/>
  <c r="W478" i="1"/>
  <c r="X478" i="1" s="1"/>
  <c r="W479" i="1"/>
  <c r="W454" i="1"/>
  <c r="X454" i="1" s="1"/>
  <c r="W456" i="1"/>
  <c r="X456" i="1" s="1"/>
  <c r="W459" i="1"/>
  <c r="X459" i="1" s="1"/>
  <c r="W460" i="1"/>
  <c r="X460" i="1" s="1"/>
  <c r="W462" i="1"/>
  <c r="X462" i="1" s="1"/>
  <c r="W463" i="1"/>
  <c r="X463" i="1"/>
  <c r="W466" i="1"/>
  <c r="X466" i="1" s="1"/>
  <c r="W467" i="1"/>
  <c r="W451" i="1"/>
  <c r="X451" i="1"/>
  <c r="W427" i="1"/>
  <c r="X427" i="1" s="1"/>
  <c r="W428" i="1"/>
  <c r="X428" i="1" s="1"/>
  <c r="W429" i="1"/>
  <c r="X429" i="1"/>
  <c r="W430" i="1"/>
  <c r="X430" i="1" s="1"/>
  <c r="W431" i="1"/>
  <c r="W432" i="1"/>
  <c r="X432" i="1" s="1"/>
  <c r="W433" i="1"/>
  <c r="X433" i="1" s="1"/>
  <c r="W434" i="1"/>
  <c r="X434" i="1" s="1"/>
  <c r="W435" i="1"/>
  <c r="X435" i="1" s="1"/>
  <c r="W436" i="1"/>
  <c r="X436" i="1"/>
  <c r="W437" i="1"/>
  <c r="X437" i="1" s="1"/>
  <c r="W438" i="1"/>
  <c r="X438" i="1" s="1"/>
  <c r="W439" i="1"/>
  <c r="X439" i="1" s="1"/>
  <c r="W440" i="1"/>
  <c r="X440" i="1"/>
  <c r="W410" i="1"/>
  <c r="X410" i="1"/>
  <c r="W411" i="1"/>
  <c r="X411" i="1" s="1"/>
  <c r="W412" i="1"/>
  <c r="W413" i="1"/>
  <c r="X413" i="1" s="1"/>
  <c r="W414" i="1"/>
  <c r="W415" i="1"/>
  <c r="X415" i="1" s="1"/>
  <c r="W416" i="1"/>
  <c r="X416" i="1" s="1"/>
  <c r="W417" i="1"/>
  <c r="W418" i="1"/>
  <c r="W422" i="1"/>
  <c r="X422" i="1" s="1"/>
  <c r="W405" i="1"/>
  <c r="X405" i="1" s="1"/>
  <c r="W406" i="1"/>
  <c r="X406" i="1" s="1"/>
  <c r="W394" i="1"/>
  <c r="X394" i="1" s="1"/>
  <c r="W395" i="1"/>
  <c r="X395" i="1" s="1"/>
  <c r="W397" i="1"/>
  <c r="W398" i="1"/>
  <c r="X398" i="1" s="1"/>
  <c r="W399" i="1"/>
  <c r="X399" i="1" s="1"/>
  <c r="W400" i="1"/>
  <c r="W383" i="1"/>
  <c r="W384" i="1"/>
  <c r="X384" i="1" s="1"/>
  <c r="W385" i="1"/>
  <c r="X385" i="1"/>
  <c r="W386" i="1"/>
  <c r="X386" i="1" s="1"/>
  <c r="W387" i="1"/>
  <c r="X387" i="1"/>
  <c r="W388" i="1"/>
  <c r="X388" i="1" s="1"/>
  <c r="W389" i="1"/>
  <c r="X389" i="1"/>
  <c r="W390" i="1"/>
  <c r="X390" i="1" s="1"/>
  <c r="W391" i="1"/>
  <c r="X391" i="1"/>
  <c r="W374" i="1"/>
  <c r="X374" i="1" s="1"/>
  <c r="W375" i="1"/>
  <c r="W376" i="1"/>
  <c r="W367" i="1"/>
  <c r="W368" i="1"/>
  <c r="W362" i="1"/>
  <c r="X362" i="1" s="1"/>
  <c r="W351" i="1"/>
  <c r="X351" i="1"/>
  <c r="W352" i="1"/>
  <c r="X352" i="1" s="1"/>
  <c r="W353" i="1"/>
  <c r="X353" i="1" s="1"/>
  <c r="W354" i="1"/>
  <c r="W355" i="1"/>
  <c r="X355" i="1" s="1"/>
  <c r="W338" i="1"/>
  <c r="W339" i="1"/>
  <c r="X339" i="1" s="1"/>
  <c r="W340" i="1"/>
  <c r="X340" i="1" s="1"/>
  <c r="W341" i="1"/>
  <c r="X341" i="1" s="1"/>
  <c r="W333" i="1"/>
  <c r="W334" i="1" s="1"/>
  <c r="W321" i="1"/>
  <c r="W322" i="1"/>
  <c r="X322" i="1" s="1"/>
  <c r="W323" i="1"/>
  <c r="X323" i="1"/>
  <c r="W324" i="1"/>
  <c r="X324" i="1"/>
  <c r="W325" i="1"/>
  <c r="X325" i="1" s="1"/>
  <c r="W326" i="1"/>
  <c r="X326" i="1" s="1"/>
  <c r="W327" i="1"/>
  <c r="X327" i="1" s="1"/>
  <c r="W330" i="1"/>
  <c r="X330" i="1"/>
  <c r="W282" i="1"/>
  <c r="W283" i="1"/>
  <c r="X283" i="1"/>
  <c r="W284" i="1"/>
  <c r="X284" i="1" s="1"/>
  <c r="W285" i="1"/>
  <c r="X285" i="1" s="1"/>
  <c r="W286" i="1"/>
  <c r="X286" i="1" s="1"/>
  <c r="W287" i="1"/>
  <c r="X287" i="1" s="1"/>
  <c r="W289" i="1"/>
  <c r="X289" i="1" s="1"/>
  <c r="W290" i="1"/>
  <c r="X290" i="1"/>
  <c r="W291" i="1"/>
  <c r="X291" i="1" s="1"/>
  <c r="W292" i="1"/>
  <c r="X292" i="1" s="1"/>
  <c r="W293" i="1"/>
  <c r="X293" i="1" s="1"/>
  <c r="W295" i="1"/>
  <c r="X295" i="1"/>
  <c r="W296" i="1"/>
  <c r="X296" i="1" s="1"/>
  <c r="W298" i="1"/>
  <c r="X298" i="1"/>
  <c r="W299" i="1"/>
  <c r="X299" i="1" s="1"/>
  <c r="W300" i="1"/>
  <c r="X300" i="1"/>
  <c r="W301" i="1"/>
  <c r="X301" i="1"/>
  <c r="W302" i="1"/>
  <c r="X302" i="1" s="1"/>
  <c r="W303" i="1"/>
  <c r="X303" i="1" s="1"/>
  <c r="W314" i="1"/>
  <c r="X314" i="1" s="1"/>
  <c r="W269" i="1"/>
  <c r="X269" i="1" s="1"/>
  <c r="W270" i="1"/>
  <c r="X270" i="1" s="1"/>
  <c r="W271" i="1"/>
  <c r="X271" i="1" s="1"/>
  <c r="W272" i="1"/>
  <c r="X272" i="1" s="1"/>
  <c r="W273" i="1"/>
  <c r="X273" i="1" s="1"/>
  <c r="W274" i="1"/>
  <c r="X274" i="1"/>
  <c r="W275" i="1"/>
  <c r="X275" i="1" s="1"/>
  <c r="W276" i="1"/>
  <c r="X276" i="1"/>
  <c r="W277" i="1"/>
  <c r="X277" i="1" s="1"/>
  <c r="W278" i="1"/>
  <c r="W265" i="1"/>
  <c r="W235" i="1"/>
  <c r="W236" i="1"/>
  <c r="X236" i="1" s="1"/>
  <c r="W237" i="1"/>
  <c r="X237" i="1" s="1"/>
  <c r="W238" i="1"/>
  <c r="X238" i="1"/>
  <c r="W239" i="1"/>
  <c r="X239" i="1" s="1"/>
  <c r="W240" i="1"/>
  <c r="X240" i="1" s="1"/>
  <c r="W241" i="1"/>
  <c r="X241" i="1" s="1"/>
  <c r="W242" i="1"/>
  <c r="X242" i="1"/>
  <c r="W243" i="1"/>
  <c r="X243" i="1" s="1"/>
  <c r="W245" i="1"/>
  <c r="X245" i="1" s="1"/>
  <c r="W246" i="1"/>
  <c r="X246" i="1" s="1"/>
  <c r="W247" i="1"/>
  <c r="W248" i="1"/>
  <c r="X248" i="1" s="1"/>
  <c r="W249" i="1"/>
  <c r="X249" i="1" s="1"/>
  <c r="W250" i="1"/>
  <c r="X250" i="1"/>
  <c r="W251" i="1"/>
  <c r="X251" i="1" s="1"/>
  <c r="W252" i="1"/>
  <c r="X252" i="1" s="1"/>
  <c r="W253" i="1"/>
  <c r="X253" i="1" s="1"/>
  <c r="W254" i="1"/>
  <c r="X254" i="1" s="1"/>
  <c r="W255" i="1"/>
  <c r="X255" i="1" s="1"/>
  <c r="W256" i="1"/>
  <c r="X256" i="1" s="1"/>
  <c r="W257" i="1"/>
  <c r="X257" i="1" s="1"/>
  <c r="W258" i="1"/>
  <c r="X258" i="1" s="1"/>
  <c r="W259" i="1"/>
  <c r="W226" i="1"/>
  <c r="X226" i="1"/>
  <c r="W227" i="1"/>
  <c r="W231" i="1" s="1"/>
  <c r="X227" i="1"/>
  <c r="W228" i="1"/>
  <c r="X228" i="1" s="1"/>
  <c r="W195" i="1"/>
  <c r="X195" i="1" s="1"/>
  <c r="W196" i="1"/>
  <c r="X196" i="1"/>
  <c r="W198" i="1"/>
  <c r="W199" i="1"/>
  <c r="X199" i="1" s="1"/>
  <c r="W200" i="1"/>
  <c r="X200" i="1"/>
  <c r="W201" i="1"/>
  <c r="X201" i="1" s="1"/>
  <c r="W202" i="1"/>
  <c r="X202" i="1" s="1"/>
  <c r="W203" i="1"/>
  <c r="X203" i="1" s="1"/>
  <c r="W204" i="1"/>
  <c r="X204" i="1"/>
  <c r="W205" i="1"/>
  <c r="X205" i="1" s="1"/>
  <c r="W206" i="1"/>
  <c r="X206" i="1" s="1"/>
  <c r="W207" i="1"/>
  <c r="X207" i="1" s="1"/>
  <c r="W208" i="1"/>
  <c r="X208" i="1" s="1"/>
  <c r="W209" i="1"/>
  <c r="X209" i="1" s="1"/>
  <c r="W210" i="1"/>
  <c r="X210" i="1" s="1"/>
  <c r="W211" i="1"/>
  <c r="X211" i="1" s="1"/>
  <c r="W212" i="1"/>
  <c r="W213" i="1"/>
  <c r="X213" i="1" s="1"/>
  <c r="W214" i="1"/>
  <c r="X214" i="1"/>
  <c r="W215" i="1"/>
  <c r="W216" i="1"/>
  <c r="W217" i="1"/>
  <c r="W218" i="1"/>
  <c r="W219" i="1"/>
  <c r="W222" i="1"/>
  <c r="X222" i="1" s="1"/>
  <c r="W187" i="1"/>
  <c r="X187" i="1"/>
  <c r="W188" i="1"/>
  <c r="X188" i="1" s="1"/>
  <c r="W189" i="1"/>
  <c r="X189" i="1" s="1"/>
  <c r="W178" i="1"/>
  <c r="X178" i="1" s="1"/>
  <c r="W179" i="1"/>
  <c r="W180" i="1"/>
  <c r="X180" i="1"/>
  <c r="W181" i="1"/>
  <c r="X181" i="1" s="1"/>
  <c r="W155" i="1"/>
  <c r="W156" i="1"/>
  <c r="W157" i="1"/>
  <c r="W160" i="1"/>
  <c r="W161" i="1"/>
  <c r="W162" i="1"/>
  <c r="W163" i="1"/>
  <c r="W164" i="1"/>
  <c r="W165" i="1"/>
  <c r="W166" i="1"/>
  <c r="W167" i="1"/>
  <c r="W168" i="1"/>
  <c r="W169" i="1"/>
  <c r="X169" i="1" s="1"/>
  <c r="W147" i="1"/>
  <c r="X147" i="1" s="1"/>
  <c r="W148" i="1"/>
  <c r="X148" i="1" s="1"/>
  <c r="W150" i="1"/>
  <c r="X150" i="1" s="1"/>
  <c r="W130" i="1"/>
  <c r="X130" i="1" s="1"/>
  <c r="W131" i="1"/>
  <c r="X131" i="1" s="1"/>
  <c r="W132" i="1"/>
  <c r="X132" i="1"/>
  <c r="W133" i="1"/>
  <c r="X133" i="1" s="1"/>
  <c r="W134" i="1"/>
  <c r="X134" i="1"/>
  <c r="W135" i="1"/>
  <c r="X135" i="1" s="1"/>
  <c r="W106" i="1"/>
  <c r="X106" i="1" s="1"/>
  <c r="W107" i="1"/>
  <c r="X107" i="1" s="1"/>
  <c r="W108" i="1"/>
  <c r="X108" i="1"/>
  <c r="W109" i="1"/>
  <c r="X109" i="1" s="1"/>
  <c r="W110" i="1"/>
  <c r="X110" i="1" s="1"/>
  <c r="W111" i="1"/>
  <c r="X111" i="1" s="1"/>
  <c r="W112" i="1"/>
  <c r="X112" i="1" s="1"/>
  <c r="W113" i="1"/>
  <c r="X113" i="1" s="1"/>
  <c r="W114" i="1"/>
  <c r="X114" i="1"/>
  <c r="W116" i="1"/>
  <c r="X116" i="1" s="1"/>
  <c r="W117" i="1"/>
  <c r="X117" i="1" s="1"/>
  <c r="W118" i="1"/>
  <c r="X118" i="1" s="1"/>
  <c r="W119" i="1"/>
  <c r="X119" i="1" s="1"/>
  <c r="W120" i="1"/>
  <c r="X120" i="1" s="1"/>
  <c r="W121" i="1"/>
  <c r="W93" i="1"/>
  <c r="X93" i="1" s="1"/>
  <c r="W94" i="1"/>
  <c r="X94" i="1" s="1"/>
  <c r="W95" i="1"/>
  <c r="X95" i="1" s="1"/>
  <c r="W96" i="1"/>
  <c r="X96" i="1"/>
  <c r="W97" i="1"/>
  <c r="X97" i="1"/>
  <c r="W98" i="1"/>
  <c r="X98" i="1" s="1"/>
  <c r="W99" i="1"/>
  <c r="X99" i="1" s="1"/>
  <c r="W100" i="1"/>
  <c r="W101" i="1"/>
  <c r="W85" i="1"/>
  <c r="X85" i="1" s="1"/>
  <c r="W86" i="1"/>
  <c r="X86" i="1" s="1"/>
  <c r="W87" i="1"/>
  <c r="X87" i="1" s="1"/>
  <c r="W88" i="1"/>
  <c r="X88" i="1"/>
  <c r="W89" i="1"/>
  <c r="W66" i="1"/>
  <c r="X66" i="1" s="1"/>
  <c r="W67" i="1"/>
  <c r="X67" i="1" s="1"/>
  <c r="W68" i="1"/>
  <c r="X68" i="1" s="1"/>
  <c r="W69" i="1"/>
  <c r="X69" i="1"/>
  <c r="W70" i="1"/>
  <c r="X70" i="1" s="1"/>
  <c r="W71" i="1"/>
  <c r="X71" i="1" s="1"/>
  <c r="W72" i="1"/>
  <c r="X72" i="1" s="1"/>
  <c r="W73" i="1"/>
  <c r="X73" i="1"/>
  <c r="W74" i="1"/>
  <c r="X74" i="1"/>
  <c r="W75" i="1"/>
  <c r="X75" i="1"/>
  <c r="W76" i="1"/>
  <c r="X76" i="1" s="1"/>
  <c r="W78" i="1"/>
  <c r="W57" i="1"/>
  <c r="X57" i="1"/>
  <c r="W58" i="1"/>
  <c r="W59" i="1"/>
  <c r="X59" i="1" s="1"/>
  <c r="W60" i="1"/>
  <c r="X60" i="1" s="1"/>
  <c r="W61" i="1"/>
  <c r="X61" i="1" s="1"/>
  <c r="W62" i="1"/>
  <c r="X62" i="1"/>
  <c r="W53" i="1"/>
  <c r="W32" i="1"/>
  <c r="W33" i="1"/>
  <c r="X33" i="1"/>
  <c r="W34" i="1"/>
  <c r="X34" i="1" s="1"/>
  <c r="W35" i="1"/>
  <c r="X35" i="1" s="1"/>
  <c r="W38" i="1"/>
  <c r="X38" i="1" s="1"/>
  <c r="W39" i="1"/>
  <c r="X39" i="1"/>
  <c r="W40" i="1"/>
  <c r="X40" i="1" s="1"/>
  <c r="W41" i="1"/>
  <c r="X41" i="1"/>
  <c r="W42" i="1"/>
  <c r="X42" i="1" s="1"/>
  <c r="W46" i="1"/>
  <c r="W47" i="1"/>
  <c r="X47" i="1"/>
  <c r="W23" i="1"/>
  <c r="X23" i="1" s="1"/>
  <c r="W24" i="1"/>
  <c r="W25" i="1"/>
  <c r="X25" i="1"/>
  <c r="W29" i="1"/>
  <c r="X29" i="1"/>
  <c r="W20" i="1"/>
  <c r="X20" i="1" s="1"/>
  <c r="W14" i="1"/>
  <c r="X14" i="1" s="1"/>
  <c r="W15" i="1"/>
  <c r="X15" i="1" s="1"/>
  <c r="W16" i="1"/>
  <c r="X16" i="1" s="1"/>
  <c r="W13" i="1"/>
  <c r="W9" i="1"/>
  <c r="W10" i="1" s="1"/>
  <c r="F154" i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W409" i="1"/>
  <c r="W475" i="1"/>
  <c r="X475" i="1" s="1"/>
  <c r="W443" i="1"/>
  <c r="W426" i="1"/>
  <c r="W404" i="1"/>
  <c r="X404" i="1" s="1"/>
  <c r="W382" i="1"/>
  <c r="X382" i="1" s="1"/>
  <c r="W373" i="1"/>
  <c r="W366" i="1"/>
  <c r="X366" i="1" s="1"/>
  <c r="W358" i="1"/>
  <c r="W350" i="1"/>
  <c r="W337" i="1"/>
  <c r="W320" i="1"/>
  <c r="X320" i="1"/>
  <c r="W281" i="1"/>
  <c r="W268" i="1"/>
  <c r="X268" i="1" s="1"/>
  <c r="W264" i="1"/>
  <c r="W234" i="1"/>
  <c r="X234" i="1" s="1"/>
  <c r="W225" i="1"/>
  <c r="X225" i="1"/>
  <c r="W194" i="1"/>
  <c r="X194" i="1"/>
  <c r="W186" i="1"/>
  <c r="W177" i="1"/>
  <c r="W146" i="1"/>
  <c r="X146" i="1" s="1"/>
  <c r="W142" i="1"/>
  <c r="W143" i="1"/>
  <c r="X143" i="1" s="1"/>
  <c r="W141" i="1"/>
  <c r="X141" i="1" s="1"/>
  <c r="W105" i="1"/>
  <c r="X105" i="1" s="1"/>
  <c r="W92" i="1"/>
  <c r="X92" i="1" s="1"/>
  <c r="W84" i="1"/>
  <c r="W56" i="1"/>
  <c r="X56" i="1"/>
  <c r="F443" i="1"/>
  <c r="F444" i="1" s="1"/>
  <c r="F445" i="1" s="1"/>
  <c r="F446" i="1" s="1"/>
  <c r="F447" i="1"/>
  <c r="F448" i="1" s="1"/>
  <c r="F449" i="1" s="1"/>
  <c r="F450" i="1" s="1"/>
  <c r="F451" i="1"/>
  <c r="F409" i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X319" i="1"/>
  <c r="X176" i="1"/>
  <c r="X65" i="1"/>
  <c r="X474" i="1"/>
  <c r="X473" i="1"/>
  <c r="X453" i="1"/>
  <c r="X442" i="1"/>
  <c r="X425" i="1"/>
  <c r="X424" i="1"/>
  <c r="X408" i="1"/>
  <c r="X403" i="1"/>
  <c r="X393" i="1"/>
  <c r="X381" i="1"/>
  <c r="X372" i="1"/>
  <c r="X371" i="1"/>
  <c r="X365" i="1"/>
  <c r="X360" i="1"/>
  <c r="X357" i="1"/>
  <c r="X349" i="1"/>
  <c r="X336" i="1"/>
  <c r="X332" i="1"/>
  <c r="X280" i="1"/>
  <c r="X267" i="1"/>
  <c r="X263" i="1"/>
  <c r="X233" i="1"/>
  <c r="X232" i="1"/>
  <c r="X224" i="1"/>
  <c r="X193" i="1"/>
  <c r="X185" i="1"/>
  <c r="X184" i="1"/>
  <c r="X153" i="1"/>
  <c r="X145" i="1"/>
  <c r="X140" i="1"/>
  <c r="X137" i="1"/>
  <c r="X129" i="1"/>
  <c r="X104" i="1"/>
  <c r="X91" i="1"/>
  <c r="X83" i="1"/>
  <c r="X82" i="1"/>
  <c r="X81" i="1"/>
  <c r="X55" i="1"/>
  <c r="X51" i="1"/>
  <c r="X31" i="1"/>
  <c r="X19" i="1"/>
  <c r="X12" i="1"/>
  <c r="X11" i="1"/>
  <c r="F475" i="1"/>
  <c r="F476" i="1"/>
  <c r="F477" i="1" s="1"/>
  <c r="F478" i="1" s="1"/>
  <c r="F479" i="1" s="1"/>
  <c r="F426" i="1"/>
  <c r="F427" i="1" s="1"/>
  <c r="F428" i="1" s="1"/>
  <c r="F429" i="1" s="1"/>
  <c r="F430" i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04" i="1"/>
  <c r="F405" i="1"/>
  <c r="F406" i="1" s="1"/>
  <c r="F382" i="1"/>
  <c r="F383" i="1" s="1"/>
  <c r="F384" i="1" s="1"/>
  <c r="F385" i="1" s="1"/>
  <c r="F386" i="1"/>
  <c r="F387" i="1" s="1"/>
  <c r="F388" i="1" s="1"/>
  <c r="F389" i="1" s="1"/>
  <c r="F390" i="1" s="1"/>
  <c r="F391" i="1" s="1"/>
  <c r="F373" i="1"/>
  <c r="F374" i="1" s="1"/>
  <c r="F375" i="1" s="1"/>
  <c r="F376" i="1" s="1"/>
  <c r="F377" i="1" s="1"/>
  <c r="F378" i="1" s="1"/>
  <c r="F379" i="1" s="1"/>
  <c r="Y369" i="1"/>
  <c r="F366" i="1"/>
  <c r="F367" i="1" s="1"/>
  <c r="F368" i="1" s="1"/>
  <c r="F361" i="1"/>
  <c r="F362" i="1" s="1"/>
  <c r="F363" i="1" s="1"/>
  <c r="F358" i="1"/>
  <c r="F350" i="1"/>
  <c r="F351" i="1" s="1"/>
  <c r="F352" i="1" s="1"/>
  <c r="F353" i="1" s="1"/>
  <c r="F354" i="1" s="1"/>
  <c r="F355" i="1" s="1"/>
  <c r="F337" i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20" i="1"/>
  <c r="F321" i="1" s="1"/>
  <c r="F322" i="1" s="1"/>
  <c r="F323" i="1" s="1"/>
  <c r="F324" i="1" s="1"/>
  <c r="F325" i="1" s="1"/>
  <c r="F326" i="1"/>
  <c r="F327" i="1" s="1"/>
  <c r="F328" i="1" s="1"/>
  <c r="F329" i="1" s="1"/>
  <c r="F330" i="1" s="1"/>
  <c r="F281" i="1"/>
  <c r="F282" i="1" s="1"/>
  <c r="F283" i="1" s="1"/>
  <c r="F284" i="1"/>
  <c r="F285" i="1" s="1"/>
  <c r="F286" i="1" s="1"/>
  <c r="F287" i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268" i="1"/>
  <c r="F269" i="1" s="1"/>
  <c r="F270" i="1" s="1"/>
  <c r="F271" i="1"/>
  <c r="F272" i="1" s="1"/>
  <c r="F273" i="1" s="1"/>
  <c r="F274" i="1" s="1"/>
  <c r="F275" i="1" s="1"/>
  <c r="F276" i="1" s="1"/>
  <c r="F277" i="1" s="1"/>
  <c r="F278" i="1" s="1"/>
  <c r="F264" i="1"/>
  <c r="F265" i="1"/>
  <c r="F234" i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25" i="1"/>
  <c r="F226" i="1" s="1"/>
  <c r="F227" i="1" s="1"/>
  <c r="F228" i="1" s="1"/>
  <c r="F229" i="1" s="1"/>
  <c r="F230" i="1" s="1"/>
  <c r="F194" i="1"/>
  <c r="F195" i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186" i="1"/>
  <c r="F187" i="1"/>
  <c r="F188" i="1" s="1"/>
  <c r="F189" i="1" s="1"/>
  <c r="F190" i="1" s="1"/>
  <c r="F191" i="1"/>
  <c r="F177" i="1"/>
  <c r="F178" i="1" s="1"/>
  <c r="F179" i="1" s="1"/>
  <c r="F180" i="1" s="1"/>
  <c r="F181" i="1" s="1"/>
  <c r="F146" i="1"/>
  <c r="F147" i="1" s="1"/>
  <c r="F148" i="1"/>
  <c r="F149" i="1" s="1"/>
  <c r="F150" i="1" s="1"/>
  <c r="F141" i="1"/>
  <c r="F142" i="1" s="1"/>
  <c r="F143" i="1" s="1"/>
  <c r="F138" i="1"/>
  <c r="F105" i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92" i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84" i="1"/>
  <c r="F85" i="1" s="1"/>
  <c r="F86" i="1"/>
  <c r="F87" i="1" s="1"/>
  <c r="F88" i="1" s="1"/>
  <c r="F89" i="1" s="1"/>
  <c r="F56" i="1"/>
  <c r="F57" i="1" s="1"/>
  <c r="F58" i="1" s="1"/>
  <c r="F59" i="1" s="1"/>
  <c r="F60" i="1" s="1"/>
  <c r="F61" i="1"/>
  <c r="F62" i="1" s="1"/>
  <c r="F63" i="1" s="1"/>
  <c r="F52" i="1"/>
  <c r="F53" i="1"/>
  <c r="F20" i="1"/>
  <c r="F21" i="1"/>
  <c r="F22" i="1" s="1"/>
  <c r="F23" i="1" s="1"/>
  <c r="F24" i="1" s="1"/>
  <c r="F25" i="1" s="1"/>
  <c r="F26" i="1" s="1"/>
  <c r="F27" i="1" s="1"/>
  <c r="F28" i="1" s="1"/>
  <c r="F29" i="1"/>
  <c r="F13" i="1"/>
  <c r="F14" i="1" s="1"/>
  <c r="F15" i="1" s="1"/>
  <c r="F16" i="1" s="1"/>
  <c r="F17" i="1" s="1"/>
  <c r="F9" i="1"/>
  <c r="W361" i="1"/>
  <c r="W364" i="1" s="1"/>
  <c r="W154" i="1"/>
  <c r="W138" i="1"/>
  <c r="X138" i="1"/>
  <c r="W52" i="1"/>
  <c r="X52" i="1" s="1"/>
  <c r="M64" i="1"/>
  <c r="I10" i="3" s="1"/>
  <c r="I262" i="1"/>
  <c r="E28" i="3" s="1"/>
  <c r="O13" i="1"/>
  <c r="O180" i="1"/>
  <c r="M472" i="1"/>
  <c r="I13" i="2" s="1"/>
  <c r="O9" i="1"/>
  <c r="O10" i="1" s="1"/>
  <c r="K6" i="2" s="1"/>
  <c r="K192" i="1"/>
  <c r="G25" i="3"/>
  <c r="O373" i="1"/>
  <c r="H30" i="1"/>
  <c r="D7" i="3"/>
  <c r="O186" i="1"/>
  <c r="O400" i="1"/>
  <c r="K423" i="1"/>
  <c r="J318" i="1"/>
  <c r="F31" i="3"/>
  <c r="U335" i="1"/>
  <c r="S481" i="1"/>
  <c r="O475" i="1"/>
  <c r="I356" i="1"/>
  <c r="M79" i="1"/>
  <c r="I11" i="3" s="1"/>
  <c r="M369" i="1"/>
  <c r="I38" i="3"/>
  <c r="M38" i="3" s="1"/>
  <c r="M334" i="1"/>
  <c r="M380" i="1"/>
  <c r="M50" i="1"/>
  <c r="I8" i="3" s="1"/>
  <c r="V402" i="1"/>
  <c r="V481" i="1"/>
  <c r="H348" i="1"/>
  <c r="D34" i="3"/>
  <c r="I364" i="1"/>
  <c r="E37" i="3"/>
  <c r="H128" i="1"/>
  <c r="D16" i="3" s="1"/>
  <c r="O426" i="1"/>
  <c r="M266" i="1"/>
  <c r="I29" i="3" s="1"/>
  <c r="M407" i="1"/>
  <c r="I45" i="3" s="1"/>
  <c r="G8" i="3"/>
  <c r="I423" i="1"/>
  <c r="E12" i="2" s="1"/>
  <c r="W369" i="1"/>
  <c r="X337" i="1"/>
  <c r="W348" i="1"/>
  <c r="X358" i="1"/>
  <c r="W359" i="1"/>
  <c r="X373" i="1"/>
  <c r="X409" i="1"/>
  <c r="X24" i="1"/>
  <c r="W30" i="1"/>
  <c r="X383" i="1"/>
  <c r="W407" i="1"/>
  <c r="X407" i="1" s="1"/>
  <c r="O338" i="1"/>
  <c r="O66" i="1"/>
  <c r="O394" i="1"/>
  <c r="M142" i="1"/>
  <c r="Z142" i="1" s="1"/>
  <c r="O148" i="1"/>
  <c r="M151" i="1"/>
  <c r="I20" i="3" s="1"/>
  <c r="O17" i="1"/>
  <c r="M18" i="1"/>
  <c r="I6" i="3" s="1"/>
  <c r="J362" i="1"/>
  <c r="I392" i="1"/>
  <c r="S335" i="1"/>
  <c r="R481" i="1"/>
  <c r="O85" i="1"/>
  <c r="J89" i="1"/>
  <c r="J90" i="1" s="1"/>
  <c r="F14" i="3" s="1"/>
  <c r="I90" i="1"/>
  <c r="E14" i="3" s="1"/>
  <c r="O457" i="1"/>
  <c r="O177" i="1"/>
  <c r="M182" i="1"/>
  <c r="K361" i="1"/>
  <c r="O361" i="1" s="1"/>
  <c r="V423" i="1"/>
  <c r="K57" i="1"/>
  <c r="O57" i="1" s="1"/>
  <c r="J64" i="1"/>
  <c r="F10" i="3" s="1"/>
  <c r="J452" i="1"/>
  <c r="F49" i="3" s="1"/>
  <c r="M139" i="1"/>
  <c r="I18" i="3" s="1"/>
  <c r="O386" i="1"/>
  <c r="N392" i="1"/>
  <c r="J42" i="3"/>
  <c r="O142" i="1"/>
  <c r="J52" i="3"/>
  <c r="K432" i="1"/>
  <c r="K438" i="1"/>
  <c r="K439" i="1"/>
  <c r="Z439" i="1" s="1"/>
  <c r="O439" i="1"/>
  <c r="K440" i="1"/>
  <c r="O440" i="1"/>
  <c r="D4" i="3"/>
  <c r="D6" i="2"/>
  <c r="D50" i="3"/>
  <c r="H472" i="1"/>
  <c r="F11" i="2"/>
  <c r="O215" i="1"/>
  <c r="O235" i="1"/>
  <c r="O236" i="1"/>
  <c r="O271" i="1"/>
  <c r="O273" i="1"/>
  <c r="O298" i="1"/>
  <c r="O299" i="1"/>
  <c r="O301" i="1"/>
  <c r="O337" i="1"/>
  <c r="O339" i="1"/>
  <c r="O342" i="1"/>
  <c r="J348" i="1"/>
  <c r="O23" i="1"/>
  <c r="O24" i="1"/>
  <c r="O114" i="1"/>
  <c r="O130" i="1"/>
  <c r="O131" i="1"/>
  <c r="O466" i="1"/>
  <c r="O467" i="1"/>
  <c r="O470" i="1"/>
  <c r="O167" i="1"/>
  <c r="O168" i="1"/>
  <c r="Z430" i="1"/>
  <c r="J423" i="1"/>
  <c r="O411" i="1"/>
  <c r="O412" i="1"/>
  <c r="O374" i="1"/>
  <c r="O63" i="1"/>
  <c r="L303" i="1"/>
  <c r="Z180" i="1"/>
  <c r="O245" i="1"/>
  <c r="O333" i="1"/>
  <c r="O334" i="1" s="1"/>
  <c r="N102" i="1"/>
  <c r="N122" i="1"/>
  <c r="Z122" i="1" s="1"/>
  <c r="K362" i="1"/>
  <c r="O362" i="1" s="1"/>
  <c r="K64" i="1"/>
  <c r="G10" i="3" s="1"/>
  <c r="Z105" i="1"/>
  <c r="O110" i="1"/>
  <c r="Z112" i="1"/>
  <c r="O112" i="1"/>
  <c r="Z124" i="1"/>
  <c r="O124" i="1"/>
  <c r="W139" i="1"/>
  <c r="O187" i="1"/>
  <c r="O198" i="1"/>
  <c r="O203" i="1"/>
  <c r="O204" i="1"/>
  <c r="O205" i="1"/>
  <c r="O206" i="1"/>
  <c r="O213" i="1"/>
  <c r="O238" i="1"/>
  <c r="O248" i="1"/>
  <c r="O249" i="1"/>
  <c r="O276" i="1"/>
  <c r="O285" i="1"/>
  <c r="O286" i="1"/>
  <c r="O289" i="1"/>
  <c r="O290" i="1"/>
  <c r="O325" i="1"/>
  <c r="O326" i="1"/>
  <c r="O327" i="1"/>
  <c r="O330" i="1"/>
  <c r="O353" i="1"/>
  <c r="M359" i="1"/>
  <c r="O366" i="1"/>
  <c r="O367" i="1"/>
  <c r="O368" i="1"/>
  <c r="O33" i="1"/>
  <c r="O39" i="1"/>
  <c r="O40" i="1"/>
  <c r="O56" i="1"/>
  <c r="O61" i="1"/>
  <c r="O68" i="1"/>
  <c r="O69" i="1"/>
  <c r="O71" i="1"/>
  <c r="J79" i="1"/>
  <c r="O78" i="1"/>
  <c r="O94" i="1"/>
  <c r="O95" i="1"/>
  <c r="Z57" i="1"/>
  <c r="Z100" i="1"/>
  <c r="O93" i="1"/>
  <c r="Z109" i="1"/>
  <c r="O109" i="1"/>
  <c r="Z111" i="1"/>
  <c r="O111" i="1"/>
  <c r="O161" i="1"/>
  <c r="Z369" i="1"/>
  <c r="Z60" i="1"/>
  <c r="J136" i="1"/>
  <c r="F17" i="3" s="1"/>
  <c r="O134" i="1"/>
  <c r="O135" i="1"/>
  <c r="J151" i="1"/>
  <c r="O147" i="1"/>
  <c r="O150" i="1"/>
  <c r="O414" i="1"/>
  <c r="O458" i="1"/>
  <c r="N154" i="1"/>
  <c r="Z154" i="1" s="1"/>
  <c r="O155" i="1"/>
  <c r="O164" i="1"/>
  <c r="K427" i="1"/>
  <c r="O427" i="1" s="1"/>
  <c r="O378" i="1"/>
  <c r="N10" i="1"/>
  <c r="J4" i="3" s="1"/>
  <c r="O351" i="1"/>
  <c r="O283" i="1"/>
  <c r="M296" i="1"/>
  <c r="Z296" i="1" s="1"/>
  <c r="O397" i="1"/>
  <c r="N415" i="1"/>
  <c r="O415" i="1" s="1"/>
  <c r="M323" i="1"/>
  <c r="O323" i="1" s="1"/>
  <c r="O387" i="1"/>
  <c r="Z14" i="1"/>
  <c r="Z16" i="1"/>
  <c r="Z32" i="1"/>
  <c r="O170" i="1"/>
  <c r="O181" i="1"/>
  <c r="O303" i="1"/>
  <c r="Z303" i="1"/>
  <c r="O296" i="1"/>
  <c r="O138" i="1"/>
  <c r="O139" i="1"/>
  <c r="Z138" i="1"/>
  <c r="Z455" i="1"/>
  <c r="J471" i="1"/>
  <c r="E49" i="3"/>
  <c r="I472" i="1"/>
  <c r="E13" i="2" s="1"/>
  <c r="E30" i="3"/>
  <c r="Z207" i="1"/>
  <c r="O320" i="1"/>
  <c r="N169" i="1"/>
  <c r="H380" i="1"/>
  <c r="X264" i="1"/>
  <c r="W266" i="1"/>
  <c r="X266" i="1" s="1"/>
  <c r="O268" i="1"/>
  <c r="I36" i="3"/>
  <c r="E6" i="2"/>
  <c r="N18" i="1"/>
  <c r="J6" i="3" s="1"/>
  <c r="O127" i="1"/>
  <c r="Z127" i="1"/>
  <c r="W103" i="1"/>
  <c r="X103" i="1" s="1"/>
  <c r="X100" i="1"/>
  <c r="E29" i="3"/>
  <c r="O246" i="1"/>
  <c r="Z246" i="1"/>
  <c r="O96" i="1"/>
  <c r="Z96" i="1"/>
  <c r="O212" i="1"/>
  <c r="F34" i="3"/>
  <c r="Z47" i="1"/>
  <c r="J50" i="1"/>
  <c r="F8" i="3" s="1"/>
  <c r="Z69" i="1"/>
  <c r="U223" i="1"/>
  <c r="U370" i="1" s="1"/>
  <c r="W197" i="1"/>
  <c r="X197" i="1" s="1"/>
  <c r="X397" i="1"/>
  <c r="Z358" i="1"/>
  <c r="O358" i="1"/>
  <c r="O359" i="1" s="1"/>
  <c r="D12" i="2"/>
  <c r="Z34" i="1"/>
  <c r="O34" i="1"/>
  <c r="L192" i="1"/>
  <c r="H25" i="3" s="1"/>
  <c r="M25" i="3" s="1"/>
  <c r="Z189" i="1"/>
  <c r="Z440" i="1"/>
  <c r="O38" i="1"/>
  <c r="Z466" i="1"/>
  <c r="N471" i="1"/>
  <c r="Z471" i="1" s="1"/>
  <c r="Z476" i="1"/>
  <c r="O476" i="1"/>
  <c r="O99" i="1"/>
  <c r="Z181" i="1"/>
  <c r="Z110" i="1"/>
  <c r="H14" i="2"/>
  <c r="R472" i="1"/>
  <c r="X426" i="1"/>
  <c r="X186" i="1"/>
  <c r="W192" i="1"/>
  <c r="X192" i="1" s="1"/>
  <c r="O189" i="1"/>
  <c r="Z119" i="1"/>
  <c r="O119" i="1"/>
  <c r="Z321" i="1"/>
  <c r="O321" i="1"/>
  <c r="X281" i="1"/>
  <c r="X13" i="1"/>
  <c r="O399" i="1"/>
  <c r="Z399" i="1"/>
  <c r="O149" i="1"/>
  <c r="Z149" i="1"/>
  <c r="Z257" i="1"/>
  <c r="O257" i="1"/>
  <c r="Z117" i="1"/>
  <c r="O117" i="1"/>
  <c r="N340" i="1"/>
  <c r="O340" i="1" s="1"/>
  <c r="F50" i="3"/>
  <c r="N348" i="1"/>
  <c r="J34" i="3" s="1"/>
  <c r="D41" i="3"/>
  <c r="Z192" i="1" l="1"/>
  <c r="D42" i="3"/>
  <c r="H402" i="1"/>
  <c r="H51" i="3"/>
  <c r="H13" i="2"/>
  <c r="Z284" i="1"/>
  <c r="O284" i="1"/>
  <c r="Z163" i="1"/>
  <c r="O163" i="1"/>
  <c r="Z261" i="1"/>
  <c r="O261" i="1"/>
  <c r="Z234" i="1"/>
  <c r="L262" i="1"/>
  <c r="H28" i="3" s="1"/>
  <c r="O438" i="1"/>
  <c r="Z438" i="1"/>
  <c r="W151" i="1"/>
  <c r="X151" i="1" s="1"/>
  <c r="J335" i="1"/>
  <c r="X142" i="1"/>
  <c r="W144" i="1"/>
  <c r="X144" i="1" s="1"/>
  <c r="H79" i="1"/>
  <c r="H48" i="3"/>
  <c r="Z225" i="1"/>
  <c r="O225" i="1"/>
  <c r="Z406" i="1"/>
  <c r="O406" i="1"/>
  <c r="O407" i="1" s="1"/>
  <c r="K11" i="2" s="1"/>
  <c r="M255" i="1"/>
  <c r="O255" i="1" s="1"/>
  <c r="Z255" i="1"/>
  <c r="O272" i="1"/>
  <c r="O413" i="1"/>
  <c r="P152" i="1"/>
  <c r="P183" i="1" s="1"/>
  <c r="V335" i="1"/>
  <c r="X334" i="1"/>
  <c r="O234" i="1"/>
  <c r="Z339" i="1"/>
  <c r="M348" i="1"/>
  <c r="H356" i="1"/>
  <c r="D35" i="3" s="1"/>
  <c r="K152" i="1"/>
  <c r="K183" i="1" s="1"/>
  <c r="G8" i="2" s="1"/>
  <c r="G15" i="3"/>
  <c r="Z10" i="1"/>
  <c r="Q335" i="1"/>
  <c r="Z196" i="1"/>
  <c r="O196" i="1"/>
  <c r="Z322" i="1"/>
  <c r="O322" i="1"/>
  <c r="M287" i="1"/>
  <c r="O287" i="1" s="1"/>
  <c r="L318" i="1"/>
  <c r="H31" i="3" s="1"/>
  <c r="Z188" i="1"/>
  <c r="I51" i="3"/>
  <c r="E9" i="3"/>
  <c r="V370" i="1"/>
  <c r="Z195" i="1"/>
  <c r="O195" i="1"/>
  <c r="O143" i="1"/>
  <c r="Z143" i="1"/>
  <c r="Z123" i="1"/>
  <c r="O123" i="1"/>
  <c r="Z237" i="1"/>
  <c r="O237" i="1"/>
  <c r="O41" i="1"/>
  <c r="K363" i="1"/>
  <c r="I335" i="1"/>
  <c r="O154" i="1"/>
  <c r="O175" i="1" s="1"/>
  <c r="O133" i="1"/>
  <c r="O136" i="1" s="1"/>
  <c r="O302" i="1"/>
  <c r="I11" i="2"/>
  <c r="L402" i="1"/>
  <c r="X10" i="1"/>
  <c r="T472" i="1"/>
  <c r="M30" i="1"/>
  <c r="I7" i="3" s="1"/>
  <c r="Z29" i="1"/>
  <c r="O29" i="1"/>
  <c r="Z388" i="1"/>
  <c r="O388" i="1"/>
  <c r="Z86" i="1"/>
  <c r="I6" i="2"/>
  <c r="Z427" i="1"/>
  <c r="O293" i="1"/>
  <c r="Z89" i="1"/>
  <c r="Z254" i="1"/>
  <c r="Z323" i="1"/>
  <c r="O300" i="1"/>
  <c r="O369" i="1"/>
  <c r="O324" i="1"/>
  <c r="O197" i="1"/>
  <c r="O390" i="1"/>
  <c r="K428" i="1"/>
  <c r="O428" i="1" s="1"/>
  <c r="O441" i="1" s="1"/>
  <c r="O472" i="1" s="1"/>
  <c r="K13" i="2" s="1"/>
  <c r="F52" i="3"/>
  <c r="J54" i="1"/>
  <c r="F9" i="3" s="1"/>
  <c r="X177" i="1"/>
  <c r="W182" i="1"/>
  <c r="X182" i="1" s="1"/>
  <c r="Z340" i="1"/>
  <c r="M480" i="1"/>
  <c r="M481" i="1" s="1"/>
  <c r="W471" i="1"/>
  <c r="X471" i="1" s="1"/>
  <c r="X392" i="1"/>
  <c r="W54" i="1"/>
  <c r="X54" i="1" s="1"/>
  <c r="O418" i="1"/>
  <c r="Z361" i="1"/>
  <c r="O92" i="1"/>
  <c r="O188" i="1"/>
  <c r="O192" i="1" s="1"/>
  <c r="K54" i="1"/>
  <c r="G9" i="3" s="1"/>
  <c r="I152" i="1"/>
  <c r="I183" i="1" s="1"/>
  <c r="K79" i="1"/>
  <c r="G11" i="3" s="1"/>
  <c r="I480" i="1"/>
  <c r="I481" i="1" s="1"/>
  <c r="E14" i="2" s="1"/>
  <c r="M103" i="1"/>
  <c r="I15" i="3" s="1"/>
  <c r="X9" i="1"/>
  <c r="U80" i="1"/>
  <c r="X359" i="1"/>
  <c r="O275" i="1"/>
  <c r="Z275" i="1"/>
  <c r="M52" i="1"/>
  <c r="Z52" i="1" s="1"/>
  <c r="J139" i="1"/>
  <c r="Z383" i="1"/>
  <c r="M392" i="1"/>
  <c r="I42" i="3" s="1"/>
  <c r="O383" i="1"/>
  <c r="H90" i="1"/>
  <c r="D14" i="3" s="1"/>
  <c r="H231" i="1"/>
  <c r="D27" i="3" s="1"/>
  <c r="H331" i="1"/>
  <c r="D32" i="3" s="1"/>
  <c r="Z179" i="1"/>
  <c r="O179" i="1"/>
  <c r="O182" i="1" s="1"/>
  <c r="O243" i="1"/>
  <c r="Z243" i="1"/>
  <c r="N84" i="1"/>
  <c r="Z415" i="1"/>
  <c r="M202" i="1"/>
  <c r="M223" i="1" s="1"/>
  <c r="O15" i="1"/>
  <c r="O18" i="1" s="1"/>
  <c r="Z191" i="1"/>
  <c r="O191" i="1"/>
  <c r="Z229" i="1"/>
  <c r="O229" i="1"/>
  <c r="Z281" i="1"/>
  <c r="O281" i="1"/>
  <c r="Z20" i="1"/>
  <c r="K30" i="1"/>
  <c r="M136" i="1"/>
  <c r="I17" i="3" s="1"/>
  <c r="M17" i="3" s="1"/>
  <c r="N120" i="1"/>
  <c r="Z120" i="1" s="1"/>
  <c r="O120" i="1"/>
  <c r="O269" i="1"/>
  <c r="X348" i="1"/>
  <c r="W318" i="1"/>
  <c r="X318" i="1" s="1"/>
  <c r="W392" i="1"/>
  <c r="D52" i="3"/>
  <c r="T370" i="1"/>
  <c r="Z452" i="1"/>
  <c r="Z199" i="1"/>
  <c r="O199" i="1"/>
  <c r="Z88" i="1"/>
  <c r="O88" i="1"/>
  <c r="Z373" i="1"/>
  <c r="N380" i="1"/>
  <c r="J41" i="3" s="1"/>
  <c r="Z18" i="1"/>
  <c r="M36" i="3"/>
  <c r="Z320" i="1"/>
  <c r="J6" i="2"/>
  <c r="O151" i="1"/>
  <c r="Z53" i="1"/>
  <c r="O35" i="1"/>
  <c r="O108" i="1"/>
  <c r="N103" i="1"/>
  <c r="J15" i="3" s="1"/>
  <c r="Z478" i="1"/>
  <c r="O292" i="1"/>
  <c r="O452" i="1"/>
  <c r="O20" i="1"/>
  <c r="O30" i="1" s="1"/>
  <c r="J128" i="1"/>
  <c r="F16" i="3" s="1"/>
  <c r="W223" i="1"/>
  <c r="X223" i="1" s="1"/>
  <c r="M6" i="3"/>
  <c r="R402" i="1"/>
  <c r="J45" i="3"/>
  <c r="Z214" i="1"/>
  <c r="Z219" i="1"/>
  <c r="O219" i="1"/>
  <c r="M279" i="1"/>
  <c r="I30" i="3" s="1"/>
  <c r="Z268" i="1"/>
  <c r="Z277" i="1"/>
  <c r="O277" i="1"/>
  <c r="Z291" i="1"/>
  <c r="O291" i="1"/>
  <c r="Z56" i="1"/>
  <c r="L64" i="1"/>
  <c r="H10" i="3" s="1"/>
  <c r="Z141" i="1"/>
  <c r="Z468" i="1"/>
  <c r="O468" i="1"/>
  <c r="Z160" i="1"/>
  <c r="J175" i="1"/>
  <c r="F21" i="3" s="1"/>
  <c r="H192" i="1"/>
  <c r="D25" i="3" s="1"/>
  <c r="H407" i="1"/>
  <c r="H4" i="3"/>
  <c r="M4" i="3" s="1"/>
  <c r="Z397" i="1"/>
  <c r="M401" i="1"/>
  <c r="I43" i="3" s="1"/>
  <c r="Z239" i="1"/>
  <c r="W175" i="1"/>
  <c r="W279" i="1"/>
  <c r="X279" i="1" s="1"/>
  <c r="V152" i="1"/>
  <c r="V183" i="1" s="1"/>
  <c r="V482" i="1" s="1"/>
  <c r="H318" i="1"/>
  <c r="D31" i="3" s="1"/>
  <c r="X139" i="1"/>
  <c r="I402" i="1"/>
  <c r="E10" i="2" s="1"/>
  <c r="V472" i="1"/>
  <c r="U472" i="1"/>
  <c r="M128" i="1"/>
  <c r="I16" i="3" s="1"/>
  <c r="H182" i="1"/>
  <c r="D22" i="3" s="1"/>
  <c r="X175" i="1"/>
  <c r="E44" i="3"/>
  <c r="Z479" i="1"/>
  <c r="K480" i="1"/>
  <c r="O479" i="1"/>
  <c r="G12" i="2"/>
  <c r="G46" i="3"/>
  <c r="X235" i="1"/>
  <c r="W262" i="1"/>
  <c r="X262" i="1" s="1"/>
  <c r="Z409" i="1"/>
  <c r="O409" i="1"/>
  <c r="J401" i="1"/>
  <c r="K398" i="1"/>
  <c r="G23" i="3"/>
  <c r="O429" i="1"/>
  <c r="Z429" i="1"/>
  <c r="D51" i="3"/>
  <c r="D13" i="2"/>
  <c r="O432" i="1"/>
  <c r="Z432" i="1"/>
  <c r="O471" i="1"/>
  <c r="M227" i="1"/>
  <c r="Z227" i="1" s="1"/>
  <c r="X58" i="1"/>
  <c r="W64" i="1"/>
  <c r="X64" i="1" s="1"/>
  <c r="W79" i="1"/>
  <c r="X479" i="1"/>
  <c r="W480" i="1"/>
  <c r="T80" i="1"/>
  <c r="T482" i="1" s="1"/>
  <c r="Z395" i="1"/>
  <c r="O395" i="1"/>
  <c r="N401" i="1"/>
  <c r="O264" i="1"/>
  <c r="O266" i="1" s="1"/>
  <c r="Z264" i="1"/>
  <c r="L266" i="1"/>
  <c r="Z116" i="1"/>
  <c r="O116" i="1"/>
  <c r="O128" i="1" s="1"/>
  <c r="N128" i="1"/>
  <c r="J472" i="1"/>
  <c r="N335" i="1"/>
  <c r="Z102" i="1"/>
  <c r="Z433" i="1"/>
  <c r="O50" i="1"/>
  <c r="O348" i="1"/>
  <c r="M402" i="1"/>
  <c r="O64" i="1"/>
  <c r="Z362" i="1"/>
  <c r="X32" i="1"/>
  <c r="W50" i="1"/>
  <c r="X50" i="1" s="1"/>
  <c r="M356" i="1"/>
  <c r="I35" i="3" s="1"/>
  <c r="N350" i="1"/>
  <c r="O350" i="1"/>
  <c r="O356" i="1" s="1"/>
  <c r="Z46" i="1"/>
  <c r="O46" i="1"/>
  <c r="L50" i="1"/>
  <c r="O417" i="1"/>
  <c r="Z417" i="1"/>
  <c r="M423" i="1"/>
  <c r="Z423" i="1" s="1"/>
  <c r="X30" i="1"/>
  <c r="Q80" i="1"/>
  <c r="I80" i="1"/>
  <c r="N175" i="1"/>
  <c r="Z169" i="1"/>
  <c r="Z67" i="1"/>
  <c r="O67" i="1"/>
  <c r="O79" i="1" s="1"/>
  <c r="N79" i="1"/>
  <c r="Z79" i="1" s="1"/>
  <c r="L370" i="1"/>
  <c r="L335" i="1"/>
  <c r="M49" i="3"/>
  <c r="E42" i="3"/>
  <c r="W331" i="1"/>
  <c r="J50" i="3"/>
  <c r="M50" i="3" s="1"/>
  <c r="O331" i="1"/>
  <c r="Z103" i="1"/>
  <c r="J370" i="1"/>
  <c r="E52" i="3"/>
  <c r="Z380" i="1"/>
  <c r="I41" i="3"/>
  <c r="M41" i="3" s="1"/>
  <c r="O380" i="1"/>
  <c r="X443" i="1"/>
  <c r="W452" i="1"/>
  <c r="X452" i="1" s="1"/>
  <c r="Z216" i="1"/>
  <c r="O216" i="1"/>
  <c r="O240" i="1"/>
  <c r="O262" i="1" s="1"/>
  <c r="Z265" i="1"/>
  <c r="G7" i="3"/>
  <c r="M7" i="3" s="1"/>
  <c r="O169" i="1"/>
  <c r="I33" i="3"/>
  <c r="M33" i="3" s="1"/>
  <c r="Z334" i="1"/>
  <c r="Z201" i="1"/>
  <c r="O201" i="1"/>
  <c r="H32" i="3"/>
  <c r="E51" i="3"/>
  <c r="W128" i="1"/>
  <c r="X128" i="1" s="1"/>
  <c r="R183" i="1"/>
  <c r="R482" i="1" s="1"/>
  <c r="Z359" i="1"/>
  <c r="M30" i="3"/>
  <c r="N423" i="1"/>
  <c r="F12" i="2"/>
  <c r="F46" i="3"/>
  <c r="E46" i="3"/>
  <c r="L152" i="1"/>
  <c r="L183" i="1" s="1"/>
  <c r="W136" i="1"/>
  <c r="X136" i="1" s="1"/>
  <c r="K262" i="1"/>
  <c r="I370" i="1"/>
  <c r="E35" i="3"/>
  <c r="X84" i="1"/>
  <c r="W90" i="1"/>
  <c r="X90" i="1" s="1"/>
  <c r="X412" i="1"/>
  <c r="W423" i="1"/>
  <c r="X423" i="1" s="1"/>
  <c r="X431" i="1"/>
  <c r="W441" i="1"/>
  <c r="X441" i="1" s="1"/>
  <c r="S152" i="1"/>
  <c r="P335" i="1"/>
  <c r="P370" i="1"/>
  <c r="X364" i="1"/>
  <c r="U402" i="1"/>
  <c r="U482" i="1" s="1"/>
  <c r="J48" i="3"/>
  <c r="N472" i="1"/>
  <c r="E27" i="3"/>
  <c r="O241" i="1"/>
  <c r="Z241" i="1"/>
  <c r="Z443" i="1"/>
  <c r="O443" i="1"/>
  <c r="O144" i="1"/>
  <c r="X369" i="1"/>
  <c r="F11" i="3"/>
  <c r="J80" i="1"/>
  <c r="F20" i="3"/>
  <c r="M20" i="3" s="1"/>
  <c r="Z151" i="1"/>
  <c r="Z398" i="1"/>
  <c r="E45" i="3"/>
  <c r="E11" i="2"/>
  <c r="W18" i="1"/>
  <c r="X18" i="1" s="1"/>
  <c r="W401" i="1"/>
  <c r="Z407" i="1"/>
  <c r="O102" i="1"/>
  <c r="M144" i="1"/>
  <c r="Z144" i="1" s="1"/>
  <c r="I22" i="3"/>
  <c r="X375" i="1"/>
  <c r="W380" i="1"/>
  <c r="X380" i="1" s="1"/>
  <c r="E10" i="3"/>
  <c r="Z136" i="1"/>
  <c r="M331" i="1"/>
  <c r="Z331" i="1" s="1"/>
  <c r="W356" i="1"/>
  <c r="X356" i="1" s="1"/>
  <c r="X350" i="1"/>
  <c r="X361" i="1"/>
  <c r="Z73" i="1"/>
  <c r="O73" i="1"/>
  <c r="Z165" i="1"/>
  <c r="O165" i="1"/>
  <c r="Z477" i="1"/>
  <c r="O477" i="1"/>
  <c r="O480" i="1" s="1"/>
  <c r="O481" i="1" s="1"/>
  <c r="S183" i="1"/>
  <c r="S482" i="1" s="1"/>
  <c r="R335" i="1"/>
  <c r="Z405" i="1"/>
  <c r="Z76" i="1"/>
  <c r="O76" i="1"/>
  <c r="Z98" i="1"/>
  <c r="O98" i="1"/>
  <c r="Z194" i="1"/>
  <c r="O194" i="1"/>
  <c r="Q370" i="1"/>
  <c r="Z242" i="1"/>
  <c r="O270" i="1"/>
  <c r="H45" i="3"/>
  <c r="H11" i="2"/>
  <c r="H262" i="1"/>
  <c r="P402" i="1"/>
  <c r="P482" i="1" s="1"/>
  <c r="Z101" i="1"/>
  <c r="Z177" i="1"/>
  <c r="N182" i="1"/>
  <c r="Z182" i="1" s="1"/>
  <c r="O416" i="1"/>
  <c r="Z416" i="1"/>
  <c r="M295" i="1"/>
  <c r="Z295" i="1" s="1"/>
  <c r="R80" i="1"/>
  <c r="Z85" i="1"/>
  <c r="M90" i="1"/>
  <c r="E8" i="2" l="1"/>
  <c r="E23" i="3"/>
  <c r="L80" i="1"/>
  <c r="H80" i="1"/>
  <c r="D11" i="3"/>
  <c r="D10" i="2"/>
  <c r="D44" i="3"/>
  <c r="D45" i="3"/>
  <c r="D11" i="2"/>
  <c r="O202" i="1"/>
  <c r="Z392" i="1"/>
  <c r="Z202" i="1"/>
  <c r="O279" i="1"/>
  <c r="Z64" i="1"/>
  <c r="Z279" i="1"/>
  <c r="Z287" i="1"/>
  <c r="M262" i="1"/>
  <c r="I28" i="3" s="1"/>
  <c r="M42" i="3"/>
  <c r="O423" i="1"/>
  <c r="K12" i="2" s="1"/>
  <c r="W370" i="1"/>
  <c r="F18" i="3"/>
  <c r="M18" i="3" s="1"/>
  <c r="Z139" i="1"/>
  <c r="H10" i="2"/>
  <c r="H44" i="3"/>
  <c r="O223" i="1"/>
  <c r="I34" i="3"/>
  <c r="M34" i="3" s="1"/>
  <c r="Z348" i="1"/>
  <c r="H335" i="1"/>
  <c r="O84" i="1"/>
  <c r="O90" i="1" s="1"/>
  <c r="N90" i="1"/>
  <c r="J14" i="3" s="1"/>
  <c r="I14" i="2"/>
  <c r="I52" i="3"/>
  <c r="Z428" i="1"/>
  <c r="O103" i="1"/>
  <c r="O363" i="1"/>
  <c r="O364" i="1" s="1"/>
  <c r="Z363" i="1"/>
  <c r="M10" i="3"/>
  <c r="J152" i="1"/>
  <c r="J183" i="1" s="1"/>
  <c r="F8" i="2" s="1"/>
  <c r="I482" i="1"/>
  <c r="E15" i="2" s="1"/>
  <c r="K364" i="1"/>
  <c r="Z364" i="1" s="1"/>
  <c r="K80" i="1"/>
  <c r="K441" i="1"/>
  <c r="O392" i="1"/>
  <c r="M15" i="3"/>
  <c r="Z84" i="1"/>
  <c r="H152" i="1"/>
  <c r="H183" i="1" s="1"/>
  <c r="D8" i="2" s="1"/>
  <c r="X370" i="1"/>
  <c r="Z30" i="1"/>
  <c r="O52" i="1"/>
  <c r="O54" i="1" s="1"/>
  <c r="O80" i="1" s="1"/>
  <c r="K7" i="2" s="1"/>
  <c r="M54" i="1"/>
  <c r="O152" i="1"/>
  <c r="D23" i="3"/>
  <c r="O183" i="1"/>
  <c r="K8" i="2" s="1"/>
  <c r="J13" i="2"/>
  <c r="J51" i="3"/>
  <c r="I26" i="3"/>
  <c r="M26" i="3" s="1"/>
  <c r="Z223" i="1"/>
  <c r="K335" i="1"/>
  <c r="G28" i="3"/>
  <c r="M28" i="3" s="1"/>
  <c r="Z262" i="1"/>
  <c r="F9" i="2"/>
  <c r="F39" i="3"/>
  <c r="K14" i="2"/>
  <c r="X401" i="1"/>
  <c r="W402" i="1"/>
  <c r="X402" i="1" s="1"/>
  <c r="M318" i="1"/>
  <c r="H8" i="3"/>
  <c r="M8" i="3" s="1"/>
  <c r="Z50" i="1"/>
  <c r="H29" i="3"/>
  <c r="M29" i="3" s="1"/>
  <c r="Z266" i="1"/>
  <c r="O295" i="1"/>
  <c r="O318" i="1" s="1"/>
  <c r="D28" i="3"/>
  <c r="H370" i="1"/>
  <c r="F23" i="3"/>
  <c r="H23" i="3"/>
  <c r="H8" i="2"/>
  <c r="J12" i="2"/>
  <c r="J46" i="3"/>
  <c r="Z175" i="1"/>
  <c r="J21" i="3"/>
  <c r="M21" i="3" s="1"/>
  <c r="X79" i="1"/>
  <c r="W80" i="1"/>
  <c r="X80" i="1" s="1"/>
  <c r="K481" i="1"/>
  <c r="Z480" i="1"/>
  <c r="W472" i="1"/>
  <c r="X472" i="1" s="1"/>
  <c r="X480" i="1"/>
  <c r="W481" i="1"/>
  <c r="H12" i="3"/>
  <c r="H7" i="2"/>
  <c r="W152" i="1"/>
  <c r="F7" i="2"/>
  <c r="F12" i="3"/>
  <c r="O335" i="1"/>
  <c r="E7" i="2"/>
  <c r="E12" i="3"/>
  <c r="I10" i="2"/>
  <c r="I44" i="3"/>
  <c r="F13" i="2"/>
  <c r="F51" i="3"/>
  <c r="I19" i="3"/>
  <c r="M19" i="3" s="1"/>
  <c r="M152" i="1"/>
  <c r="M45" i="3"/>
  <c r="H39" i="3"/>
  <c r="L482" i="1"/>
  <c r="H9" i="2"/>
  <c r="N356" i="1"/>
  <c r="Z350" i="1"/>
  <c r="O398" i="1"/>
  <c r="O401" i="1" s="1"/>
  <c r="K401" i="1"/>
  <c r="I14" i="3"/>
  <c r="I32" i="3"/>
  <c r="M32" i="3" s="1"/>
  <c r="J43" i="3"/>
  <c r="N402" i="1"/>
  <c r="J22" i="3"/>
  <c r="M22" i="3" s="1"/>
  <c r="E39" i="3"/>
  <c r="E9" i="2"/>
  <c r="Q482" i="1"/>
  <c r="X331" i="1"/>
  <c r="W335" i="1"/>
  <c r="X335" i="1" s="1"/>
  <c r="N80" i="1"/>
  <c r="J11" i="3"/>
  <c r="M11" i="3" s="1"/>
  <c r="I46" i="3"/>
  <c r="M46" i="3" s="1"/>
  <c r="I12" i="2"/>
  <c r="J16" i="3"/>
  <c r="M16" i="3" s="1"/>
  <c r="Z128" i="1"/>
  <c r="M231" i="1"/>
  <c r="O227" i="1"/>
  <c r="O231" i="1" s="1"/>
  <c r="F43" i="3"/>
  <c r="J402" i="1"/>
  <c r="Z401" i="1"/>
  <c r="M14" i="3" l="1"/>
  <c r="E53" i="3"/>
  <c r="N152" i="1"/>
  <c r="N183" i="1" s="1"/>
  <c r="J8" i="2" s="1"/>
  <c r="Z90" i="1"/>
  <c r="G37" i="3"/>
  <c r="M37" i="3" s="1"/>
  <c r="D12" i="3"/>
  <c r="D7" i="2"/>
  <c r="J482" i="1"/>
  <c r="F15" i="2" s="1"/>
  <c r="O402" i="1"/>
  <c r="K10" i="2" s="1"/>
  <c r="K370" i="1"/>
  <c r="G39" i="3" s="1"/>
  <c r="I9" i="3"/>
  <c r="M9" i="3" s="1"/>
  <c r="M80" i="1"/>
  <c r="Z54" i="1"/>
  <c r="K472" i="1"/>
  <c r="Z441" i="1"/>
  <c r="G48" i="3"/>
  <c r="M48" i="3" s="1"/>
  <c r="G12" i="3"/>
  <c r="G7" i="2"/>
  <c r="Z80" i="1"/>
  <c r="I31" i="3"/>
  <c r="M31" i="3" s="1"/>
  <c r="Z318" i="1"/>
  <c r="H53" i="3"/>
  <c r="H15" i="2"/>
  <c r="G9" i="2"/>
  <c r="G14" i="2"/>
  <c r="G52" i="3"/>
  <c r="M52" i="3" s="1"/>
  <c r="Z481" i="1"/>
  <c r="O370" i="1"/>
  <c r="K9" i="2" s="1"/>
  <c r="X152" i="1"/>
  <c r="W183" i="1"/>
  <c r="X183" i="1" s="1"/>
  <c r="I27" i="3"/>
  <c r="M27" i="3" s="1"/>
  <c r="Z231" i="1"/>
  <c r="K402" i="1"/>
  <c r="G43" i="3"/>
  <c r="M43" i="3" s="1"/>
  <c r="M183" i="1"/>
  <c r="F44" i="3"/>
  <c r="F10" i="2"/>
  <c r="F17" i="2" s="1"/>
  <c r="Z402" i="1"/>
  <c r="J12" i="3"/>
  <c r="J7" i="2"/>
  <c r="H17" i="2"/>
  <c r="H21" i="2" s="1"/>
  <c r="D17" i="2"/>
  <c r="J10" i="2"/>
  <c r="J44" i="3"/>
  <c r="E17" i="2"/>
  <c r="X481" i="1"/>
  <c r="M370" i="1"/>
  <c r="M335" i="1"/>
  <c r="Z335" i="1" s="1"/>
  <c r="J35" i="3"/>
  <c r="M35" i="3" s="1"/>
  <c r="N370" i="1"/>
  <c r="Z370" i="1" s="1"/>
  <c r="Z356" i="1"/>
  <c r="D9" i="2"/>
  <c r="D39" i="3"/>
  <c r="H482" i="1"/>
  <c r="Z152" i="1" l="1"/>
  <c r="F53" i="3"/>
  <c r="G51" i="3"/>
  <c r="M51" i="3" s="1"/>
  <c r="G13" i="2"/>
  <c r="Z472" i="1"/>
  <c r="W482" i="1"/>
  <c r="X482" i="1" s="1"/>
  <c r="J23" i="3"/>
  <c r="I12" i="3"/>
  <c r="M12" i="3" s="1"/>
  <c r="I7" i="2"/>
  <c r="G44" i="3"/>
  <c r="M44" i="3" s="1"/>
  <c r="G10" i="2"/>
  <c r="D15" i="2"/>
  <c r="D53" i="3"/>
  <c r="H484" i="1"/>
  <c r="I39" i="3"/>
  <c r="I9" i="2"/>
  <c r="M482" i="1"/>
  <c r="O482" i="1"/>
  <c r="J39" i="3"/>
  <c r="J9" i="2"/>
  <c r="J17" i="2" s="1"/>
  <c r="J21" i="2" s="1"/>
  <c r="N482" i="1"/>
  <c r="K482" i="1"/>
  <c r="I23" i="3"/>
  <c r="M23" i="3" s="1"/>
  <c r="I8" i="2"/>
  <c r="Z183" i="1"/>
  <c r="I17" i="2" l="1"/>
  <c r="I21" i="2" s="1"/>
  <c r="G17" i="2"/>
  <c r="K17" i="2" s="1"/>
  <c r="K21" i="2" s="1"/>
  <c r="G21" i="2"/>
  <c r="K15" i="2"/>
  <c r="I484" i="1"/>
  <c r="I53" i="3"/>
  <c r="I15" i="2"/>
  <c r="G53" i="3"/>
  <c r="G15" i="2"/>
  <c r="Z482" i="1"/>
  <c r="M39" i="3"/>
  <c r="J53" i="3"/>
  <c r="J15" i="2"/>
  <c r="M53" i="3" l="1"/>
</calcChain>
</file>

<file path=xl/sharedStrings.xml><?xml version="1.0" encoding="utf-8"?>
<sst xmlns="http://schemas.openxmlformats.org/spreadsheetml/2006/main" count="568" uniqueCount="485">
  <si>
    <t>מס'</t>
  </si>
  <si>
    <t>נושא</t>
  </si>
  <si>
    <t>מקורות מימון 2009</t>
  </si>
  <si>
    <t>ממשלה ומוסדות</t>
  </si>
  <si>
    <t>היטל השבחה</t>
  </si>
  <si>
    <t>בעלים</t>
  </si>
  <si>
    <t>הלוואות</t>
  </si>
  <si>
    <t>מכירת נכסים</t>
  </si>
  <si>
    <t>תקציב רב שנתי</t>
  </si>
  <si>
    <t>הנהלת העירייה</t>
  </si>
  <si>
    <t>שיפוצים, רכישות ועבודות בטיחות</t>
  </si>
  <si>
    <t>סה"כ הנהלת העירייה</t>
  </si>
  <si>
    <t>מינהל הנדסה</t>
  </si>
  <si>
    <t>משרד מהנדס העיר</t>
  </si>
  <si>
    <t>עבודות מיוחדות</t>
  </si>
  <si>
    <t>מבנים מסוכנים - אגף הפיקוח על הבניה</t>
  </si>
  <si>
    <t>נגישות מתו"ס (מבנים, תשתיות וסביבה) - כולל ביצוע</t>
  </si>
  <si>
    <t>סה"כ משרד מהנדס העיר</t>
  </si>
  <si>
    <t>תכנון עיר</t>
  </si>
  <si>
    <t>מגורים</t>
  </si>
  <si>
    <t>מלונאות</t>
  </si>
  <si>
    <t>דרכים</t>
  </si>
  <si>
    <t>התחדשות עירונית</t>
  </si>
  <si>
    <t>שטחים פתוחים ומבני ציבור</t>
  </si>
  <si>
    <t>סיקרי שימור</t>
  </si>
  <si>
    <t>תכניות שונות כלליות</t>
  </si>
  <si>
    <t>שיתוף ציבור</t>
  </si>
  <si>
    <t>סה"כ תכנון עיר</t>
  </si>
  <si>
    <t>תכנון דרכים ותנועה</t>
  </si>
  <si>
    <t xml:space="preserve">השלמת פיתוח בשכונות-היטל דרכים </t>
  </si>
  <si>
    <t>תכנון ומדידה במקומות שונים</t>
  </si>
  <si>
    <t>עבודות שונות</t>
  </si>
  <si>
    <t>נחלת יעקב-הסכם פיתוח</t>
  </si>
  <si>
    <t>חפ/1704 אזור תעשיה ליד הצ'ק פוסט</t>
  </si>
  <si>
    <t>רמת זמר - סלילה</t>
  </si>
  <si>
    <t>תכנון שיקום וריבוד כבישים ומדרכות</t>
  </si>
  <si>
    <t>פיתוח מתחם חביבה רייך</t>
  </si>
  <si>
    <t>שיקום שכונת הדר - מערב</t>
  </si>
  <si>
    <t>פארק נחל הגיבורים</t>
  </si>
  <si>
    <t>סה"כ תכנון דרכים ותנועה</t>
  </si>
  <si>
    <t>עבודות בשיתוף ממשלה</t>
  </si>
  <si>
    <t>בטיחות בדרכים בתחום הגורם האנושי</t>
  </si>
  <si>
    <t>סה"כ עבודות בשיתוף ממשלה</t>
  </si>
  <si>
    <t>תכנון נוף</t>
  </si>
  <si>
    <t>מדידה ותכנון גנים</t>
  </si>
  <si>
    <t>השוק הטורקי ורח' יפו בשיתוף החמ"ת</t>
  </si>
  <si>
    <t>הכנת הדמיות נופיות</t>
  </si>
  <si>
    <t>שביל אופניים לאורך החופים</t>
  </si>
  <si>
    <t>סה"כ תכנון נוף</t>
  </si>
  <si>
    <t>נכסים</t>
  </si>
  <si>
    <t>רישום ופרצלציה</t>
  </si>
  <si>
    <t>שיפוץ , שינוי יעוד , מדידות והריסות מבנים</t>
  </si>
  <si>
    <t>השלמת זכות בעלות לעירייה בנכסים</t>
  </si>
  <si>
    <t>רישום והסדרת נכסי עירייה</t>
  </si>
  <si>
    <t>טיפול בנכסים ציבוריים</t>
  </si>
  <si>
    <t>רכישה ושיפוץ מבנים/קרקעות</t>
  </si>
  <si>
    <t>תחנות אם וילד</t>
  </si>
  <si>
    <t xml:space="preserve">שוק תלפיות הסרת סכנה </t>
  </si>
  <si>
    <t>הסרת סכנה מנכסים ציבוריים</t>
  </si>
  <si>
    <t>פרסום מכרזים</t>
  </si>
  <si>
    <t>סה"כ נכסים</t>
  </si>
  <si>
    <t>סה"כ מינהל הנדסה</t>
  </si>
  <si>
    <t>חת"ר</t>
  </si>
  <si>
    <t>מערכת חינוך</t>
  </si>
  <si>
    <t xml:space="preserve">עבודות בטיחות ובטחון </t>
  </si>
  <si>
    <t>החלפת מתקני משחק בחצרות גנ"י</t>
  </si>
  <si>
    <t>החלפת מערכות , בדיקות גילוי וכיבוי אש מוסדות חינוך</t>
  </si>
  <si>
    <t>בדיקות תקופתיות אולמות וכיבוי אש אולמות</t>
  </si>
  <si>
    <t>בדיקות כשירות תקופתיות</t>
  </si>
  <si>
    <t>סה"כ עבודות בטיחות וביטחון</t>
  </si>
  <si>
    <t>מיזוג אויר במוסדות חינוך</t>
  </si>
  <si>
    <t>מיזוג אויר אולמות ספורט בבתי ספר</t>
  </si>
  <si>
    <t>רכישת מערכת תוכנת יתרון</t>
  </si>
  <si>
    <t>ברזיות בחצרות ומתקני חימום מים וקולרים כולל התקנה</t>
  </si>
  <si>
    <t xml:space="preserve">הסבת מבנים לגנ"י </t>
  </si>
  <si>
    <t>תוספת כיתות בבתי"ס קיימים</t>
  </si>
  <si>
    <t>שיפוצים ,רכישות ומגרשי ספורט במרכזי נוער וצעירים</t>
  </si>
  <si>
    <t>סה"כ עבודות מיוחדות</t>
  </si>
  <si>
    <t>שיפוצים ובטיחות מבני חינוך וקהילה</t>
  </si>
  <si>
    <t>שיפוץ מוסדות עירוניים לפי קריטריונים</t>
  </si>
  <si>
    <t>שיפוצים ורכישות אופק חדש ועוז לתמורה</t>
  </si>
  <si>
    <t xml:space="preserve">שיפוץ מוסדות לא עירוניים </t>
  </si>
  <si>
    <t>שיפוצי שבר בבי"ס  וטיפול במפגעים מסוכנים</t>
  </si>
  <si>
    <t>שיפוצי שבר גנ"י</t>
  </si>
  <si>
    <t>שיקום מתקני משחק בחצרות גנ"י</t>
  </si>
  <si>
    <t>החלפת חלונות גליוטינה ודלתות רקובות</t>
  </si>
  <si>
    <t>החלפת סורגים גנ"י וחלונות עם מעקות בטיחות</t>
  </si>
  <si>
    <t>החלפת גדרות בבתי"ס וגנים</t>
  </si>
  <si>
    <t>שיפוץ,רכישת מתקנים לאולמות ספורט ומגרשים בבת"ס ,איטום גגות, החלפת פוליאריטן</t>
  </si>
  <si>
    <t>שיפוץ אולמות ספורט בית ספריים</t>
  </si>
  <si>
    <t>מסלול אופניים</t>
  </si>
  <si>
    <t>שיפוץ ורכישות - תנועות נוער</t>
  </si>
  <si>
    <t>סה"כ שיפוצים ובטיחות מבני חינוך</t>
  </si>
  <si>
    <t>ריהוט וציוד</t>
  </si>
  <si>
    <t>ריהוט חדרי מורים ומזכירויות (תיכוניים ויסודיים)</t>
  </si>
  <si>
    <t>שיפוצים ורכישות בבתי ספר בגין פריצות</t>
  </si>
  <si>
    <t xml:space="preserve">הצטיידות גנ"י </t>
  </si>
  <si>
    <t>פתיחת גנ"י חדשים ( תשתית והצטיידות)</t>
  </si>
  <si>
    <t>סה"כ ריהוט וציוד</t>
  </si>
  <si>
    <t>פרוייקטים בשיתוף ביטוח לאומי</t>
  </si>
  <si>
    <t>סה"כ פרוייקטים בשיתוף ביטוח לאומי</t>
  </si>
  <si>
    <t>מדע וטכנולוגיה</t>
  </si>
  <si>
    <t>יוזמות פדגוגיות בשיתוף מ.החינוך</t>
  </si>
  <si>
    <t>הצטיידות מעבדות מדע וטכנולוגיה</t>
  </si>
  <si>
    <t>סה"כ מדע וטכנולוגיה</t>
  </si>
  <si>
    <t>מחשוב מוסדות חינוך</t>
  </si>
  <si>
    <t xml:space="preserve"> שדרוג מחשבים בשיתוף הפיס</t>
  </si>
  <si>
    <t>שדרוג מחשבים חלק עירוני ותוכנות</t>
  </si>
  <si>
    <t>הנהח"ש ממוחשבת</t>
  </si>
  <si>
    <t>סה"כ מיחשוב מוסדות חינוך</t>
  </si>
  <si>
    <t>סה"כ מערכת חינוך</t>
  </si>
  <si>
    <t>מערכת תרבות</t>
  </si>
  <si>
    <t>ספריות שונות - שיפוצים, הצטיידות וריהוט</t>
  </si>
  <si>
    <t>בית פאני קפלן</t>
  </si>
  <si>
    <t>בית הגפן</t>
  </si>
  <si>
    <t>סה"כ מערכת תרבות</t>
  </si>
  <si>
    <t>מערכת  רווחה</t>
  </si>
  <si>
    <t>שיפוץ מבני האגף</t>
  </si>
  <si>
    <t>עמותת מיל"ב - שיפוצים ורכישות</t>
  </si>
  <si>
    <t>סה"כ מערכת רווחה</t>
  </si>
  <si>
    <t>סה"כ מערכות חינוך, תרבות ורווחה</t>
  </si>
  <si>
    <t>מינהל תפעול</t>
  </si>
  <si>
    <t>מנהלי</t>
  </si>
  <si>
    <t>בינוי</t>
  </si>
  <si>
    <t xml:space="preserve">תכנון פרויקטים </t>
  </si>
  <si>
    <t>טיפול במפגעים פרטיים</t>
  </si>
  <si>
    <t>סה"כ מינהלי</t>
  </si>
  <si>
    <t>אגף תברואה</t>
  </si>
  <si>
    <t>רכישת כלי רכב</t>
  </si>
  <si>
    <t>כלי אצירה</t>
  </si>
  <si>
    <t>פינוי מיכלי פלסטיק למיחזור</t>
  </si>
  <si>
    <t>הצטיידות (חרמשים ומפוחים וחומרים)</t>
  </si>
  <si>
    <t>ניקוי גרפיטי</t>
  </si>
  <si>
    <t>מסתורי אשפה להגנה על עגלות</t>
  </si>
  <si>
    <t>פינוי וגניזת דברי קודש</t>
  </si>
  <si>
    <t>אטמי אזניים - מכשירי שמיעה - הפחתת נזקי שמיעה</t>
  </si>
  <si>
    <t>תגבור נקיון במתחמים מיוחדים</t>
  </si>
  <si>
    <t>תחנות מעבר</t>
  </si>
  <si>
    <t>תחנת מעבר לפסולת בנין - קרית חיים</t>
  </si>
  <si>
    <t>סה"כ אגף תברואה</t>
  </si>
  <si>
    <t>שירות וטרינרי</t>
  </si>
  <si>
    <t>שירות וטרינרי - פינוי והובלת בע"ח</t>
  </si>
  <si>
    <t>עיקור וסירוס חתולי רחוב</t>
  </si>
  <si>
    <t>בניית מתחמים לשחרור כלבים</t>
  </si>
  <si>
    <t>ציוד מרפאה וריהוט לכלבייה החדשה</t>
  </si>
  <si>
    <t>סה"כ שירות וטרינרי</t>
  </si>
  <si>
    <t>אגף שפ"ע</t>
  </si>
  <si>
    <t xml:space="preserve">מח' דרכים </t>
  </si>
  <si>
    <t>תמרור וסימון - הנחיות מח' תנועה</t>
  </si>
  <si>
    <t xml:space="preserve">שיפוץ פרטי מסגרות וספסלים </t>
  </si>
  <si>
    <t>שיפוץ קטעי כביש ומדרכה</t>
  </si>
  <si>
    <t xml:space="preserve">תמרורים </t>
  </si>
  <si>
    <t>צביעה וסימוני דרך</t>
  </si>
  <si>
    <t>גידור מדרונות מסוכנים</t>
  </si>
  <si>
    <t>ציוד מכני - שיקום</t>
  </si>
  <si>
    <t>ציוד בטיחות</t>
  </si>
  <si>
    <t>שיקום רחובות ומתחמים</t>
  </si>
  <si>
    <t>סלילה במקומות שונים</t>
  </si>
  <si>
    <t>שיקום מהלכי מדרגות</t>
  </si>
  <si>
    <t>מתחמים מיוחדים בטיפול מחלקת דרכים</t>
  </si>
  <si>
    <t>מספור בתים ושלטי רחובות</t>
  </si>
  <si>
    <t>נגישות דרכים</t>
  </si>
  <si>
    <t xml:space="preserve">החלפת מעקות בטיחות </t>
  </si>
  <si>
    <t>שיקום חוף שמן</t>
  </si>
  <si>
    <t>שיקום טיילת בת גלים</t>
  </si>
  <si>
    <t>מפגעי בטיחות פרטיים</t>
  </si>
  <si>
    <t>סה"כ מחלקת דרכים</t>
  </si>
  <si>
    <t xml:space="preserve">מח' תאורה </t>
  </si>
  <si>
    <t>טיפול וביצוע מתקני תאורה</t>
  </si>
  <si>
    <t>סה"כ מחלקת תאורה</t>
  </si>
  <si>
    <t>מערכת טמ"ס ומטריצה</t>
  </si>
  <si>
    <t>בקרת תאורה</t>
  </si>
  <si>
    <t>ציוד עזר למרכז בקרה</t>
  </si>
  <si>
    <t>הקמת יח' קצה למרכז בקרה</t>
  </si>
  <si>
    <t>זמזמים לעיוורים</t>
  </si>
  <si>
    <t>תמיכה במרכז בקרה לרמזורים</t>
  </si>
  <si>
    <t>מיספור צמתים להכוונת הציבור</t>
  </si>
  <si>
    <t>שיקום מנהרת תשתיות</t>
  </si>
  <si>
    <t>החלפת פנסי רמזור וחיצי הכוונה ללדים</t>
  </si>
  <si>
    <t>סה"כ מחלקת רמזורים</t>
  </si>
  <si>
    <t>מח' גנים</t>
  </si>
  <si>
    <t xml:space="preserve">מגרשי ספורט </t>
  </si>
  <si>
    <t>הצללת מתקני משחקים</t>
  </si>
  <si>
    <t>ציפוי שבילים בגנים ציבוריים</t>
  </si>
  <si>
    <t>רכישת ציוד יעודי</t>
  </si>
  <si>
    <t>פרחי עונה</t>
  </si>
  <si>
    <t>שיפוץ אנדרטאות</t>
  </si>
  <si>
    <t>כריתה וגיזום עצים</t>
  </si>
  <si>
    <t>שיקום תשתיות מערכות השקיה</t>
  </si>
  <si>
    <t>עבודות שיפוץ שונות ופינות גן (שטחי גינון קיימים)</t>
  </si>
  <si>
    <t>פיתוח גנים במקומות שונים (שצ"פים)</t>
  </si>
  <si>
    <t xml:space="preserve">גידור ומעקות </t>
  </si>
  <si>
    <t>גינות קהילתיות</t>
  </si>
  <si>
    <t>סה"כ מחלקת גנים</t>
  </si>
  <si>
    <t>ניקוז</t>
  </si>
  <si>
    <t>ביצוע קווי ניקוז</t>
  </si>
  <si>
    <t xml:space="preserve">רשת ניקוז </t>
  </si>
  <si>
    <t>תחנות שאיבה לניקוז</t>
  </si>
  <si>
    <t>חיבור בתים לניקוז</t>
  </si>
  <si>
    <t>מזרקות</t>
  </si>
  <si>
    <t>מיפוי תשתיות כללי</t>
  </si>
  <si>
    <t>משאבות ים</t>
  </si>
  <si>
    <t>תכנון ניקוז</t>
  </si>
  <si>
    <t>סה"כ ניקוז</t>
  </si>
  <si>
    <t>בית מרחץ עירוני</t>
  </si>
  <si>
    <t>סה"כ בית מרחץ עירוני</t>
  </si>
  <si>
    <t>סה"כ אגף שפ"ע</t>
  </si>
  <si>
    <t>חופים עירוניים</t>
  </si>
  <si>
    <t>תאורה בחופים</t>
  </si>
  <si>
    <t xml:space="preserve">מערכת כריזה בחופים </t>
  </si>
  <si>
    <t>שיפוצים, עבודות שיקום ובניה בחופי הרחצה</t>
  </si>
  <si>
    <t>פיתוח במימון ממשלתי</t>
  </si>
  <si>
    <t>סה"כ חופים עירוניים</t>
  </si>
  <si>
    <t>בטחון</t>
  </si>
  <si>
    <t>עבודות בטחון, בטיחות ושע"ח</t>
  </si>
  <si>
    <t>המח' להג"א ומקלטים</t>
  </si>
  <si>
    <t>משמר אזרחי</t>
  </si>
  <si>
    <t>מצלמות בשכונות</t>
  </si>
  <si>
    <t>סה"כ ביטחון</t>
  </si>
  <si>
    <t xml:space="preserve">פיקוח </t>
  </si>
  <si>
    <t>ציוד חירום (גדרות, פנסים, רמקולים וכו')</t>
  </si>
  <si>
    <t>סה"כ פיקוח</t>
  </si>
  <si>
    <t>פרוייקטים בשיתוף מ. ממשלה</t>
  </si>
  <si>
    <t>הסדרים גיאומטריים</t>
  </si>
  <si>
    <t>התקני בטיחות</t>
  </si>
  <si>
    <t>סה"כ פרוייקטים בשיתוף משרדי ממשלה</t>
  </si>
  <si>
    <t>רשות החניה</t>
  </si>
  <si>
    <t>סה"כ רשות חניה</t>
  </si>
  <si>
    <t>סה"כ מינהל תפעול</t>
  </si>
  <si>
    <t>חברות ועמותות</t>
  </si>
  <si>
    <t>מוזיאונים</t>
  </si>
  <si>
    <t>מוזיאונים - שיפוצים ורכישות</t>
  </si>
  <si>
    <t>שיפורים אנרגטיים במבני המוזיאונים</t>
  </si>
  <si>
    <t>חידוש המוזיאון הימי הלאומי</t>
  </si>
  <si>
    <t>הנגשת המוזיאונים לנכים</t>
  </si>
  <si>
    <t>סה"כ מוזיאונים</t>
  </si>
  <si>
    <t>אתו"ס</t>
  </si>
  <si>
    <t>שיפוצים ורכישות-מקומות שונים</t>
  </si>
  <si>
    <t>אצטדיונים ומגרשי ספורט</t>
  </si>
  <si>
    <t>אודיטוריום</t>
  </si>
  <si>
    <t>בית הכט</t>
  </si>
  <si>
    <t>בית המוזיקה</t>
  </si>
  <si>
    <t>גן חיות</t>
  </si>
  <si>
    <t>תזמורת סימפונית</t>
  </si>
  <si>
    <t>מרכז קריגר</t>
  </si>
  <si>
    <t xml:space="preserve"> היכל הספורט רוממה</t>
  </si>
  <si>
    <t>סינמטק</t>
  </si>
  <si>
    <t>סה"כ אתו"ס</t>
  </si>
  <si>
    <t>חברה כלכלית, עמותות ותרומות</t>
  </si>
  <si>
    <t>מערכת כרטוס חדשה בכרמלית</t>
  </si>
  <si>
    <t>פרויקטים שונים</t>
  </si>
  <si>
    <t>פארק ספורט בקרית חיים</t>
  </si>
  <si>
    <t>סה"כ חברה כלכלית, עמותות ותרומות</t>
  </si>
  <si>
    <t>סה"כ חברות ועמותות</t>
  </si>
  <si>
    <t>תיירותיים</t>
  </si>
  <si>
    <t>סיורי רגולר</t>
  </si>
  <si>
    <t>מיזמים תיירותיים</t>
  </si>
  <si>
    <t>פיתוח פרויקטים ושיווק תיירותי חיפה</t>
  </si>
  <si>
    <t>סה"כ תיירותיים</t>
  </si>
  <si>
    <t>אחרים</t>
  </si>
  <si>
    <t>פרוייקטים בשיתוף אוניברסיטה</t>
  </si>
  <si>
    <t>הוצאות בגין נזקים-ביטוח</t>
  </si>
  <si>
    <t>שכ"ט שמאים</t>
  </si>
  <si>
    <t>ארמון הכרמל</t>
  </si>
  <si>
    <t>קליטת עלייה בחיפה - שיפוצים והצטיידות</t>
  </si>
  <si>
    <t>פרויקטים בשיתוף הטכניון</t>
  </si>
  <si>
    <t>סה"כ אחרים</t>
  </si>
  <si>
    <t>כבישים בשיתוף משרד התחבורה</t>
  </si>
  <si>
    <t xml:space="preserve">רכבל </t>
  </si>
  <si>
    <t>תכנית אב</t>
  </si>
  <si>
    <t>אבן גבירול</t>
  </si>
  <si>
    <t>תכנון תח"צ</t>
  </si>
  <si>
    <t>נת"צ הדר</t>
  </si>
  <si>
    <t xml:space="preserve">מטרונית-רכבת קלה </t>
  </si>
  <si>
    <t>רחוב העליה השנייה</t>
  </si>
  <si>
    <t>דרך נחל הגיבורים</t>
  </si>
  <si>
    <t>חיבור מנהרות לדרך הקישון - ביצוע</t>
  </si>
  <si>
    <t>סה"כ כבישים בשיתוף משרד התחבורה</t>
  </si>
  <si>
    <t>מבני תרבות וחינוך במימון הפיס</t>
  </si>
  <si>
    <t>מרכז קהילתי ורדיה</t>
  </si>
  <si>
    <t>סה"כ מבני תרבות וחינוך במימון הפיס</t>
  </si>
  <si>
    <t>בינוי - משרד החינוך</t>
  </si>
  <si>
    <t>סה"כ בינוי-משרד החינוך</t>
  </si>
  <si>
    <t>סה"כ תחבורה, בינוי ותשתיות</t>
  </si>
  <si>
    <t>מינהל כספים</t>
  </si>
  <si>
    <t>מיחשוב העיריה</t>
  </si>
  <si>
    <t>מיחשוב העירייה</t>
  </si>
  <si>
    <t>עיקולים ברישום</t>
  </si>
  <si>
    <t>מסופוני חניה</t>
  </si>
  <si>
    <t>מיחשוב מינהל הנדסה GIS</t>
  </si>
  <si>
    <t>יעודי קרקע</t>
  </si>
  <si>
    <t>סה"כ מיחשוב העיריה</t>
  </si>
  <si>
    <t>סה"כ מינהל כספים</t>
  </si>
  <si>
    <t>סה"כ תקציב פיתוח</t>
  </si>
  <si>
    <t>הכנה לאירועים</t>
  </si>
  <si>
    <t>שיקום נקודתי</t>
  </si>
  <si>
    <t>תח"צ רכס הכרמל</t>
  </si>
  <si>
    <t>חיבורי נמל - תכנון וביצוע</t>
  </si>
  <si>
    <t>כביש 22 - רמפת חירם</t>
  </si>
  <si>
    <t>מסופי תח"צ-מרכזית המפרץ</t>
  </si>
  <si>
    <t>חוק האריזות - הפרדה במקור כולל רכש משאיות ,כלי אצירה, אביזרים נדרשים וסקרים</t>
  </si>
  <si>
    <t>מוקדי מיחזור שכונתיים חוק האריזות</t>
  </si>
  <si>
    <t>יועץ תברואתי שוטף</t>
  </si>
  <si>
    <t>מתקן למחזור מים במערכת השטיפה</t>
  </si>
  <si>
    <t>שלטי רחוב מוארים (סולאריים)</t>
  </si>
  <si>
    <t>טיפול בכיסוי שוחות</t>
  </si>
  <si>
    <t>מיפוי תשתיות רמזורים</t>
  </si>
  <si>
    <t>החלפת גומי בהתאם לדוחות מכון התקנים</t>
  </si>
  <si>
    <t>הדברה של תוואי התהלוכה וחדקונית הדקל</t>
  </si>
  <si>
    <t>אירועים בגנים</t>
  </si>
  <si>
    <t>שיפוץ תאי שירותים במוסדות חינוך</t>
  </si>
  <si>
    <t>שיקום וצביעה חזיתות בתי ספר</t>
  </si>
  <si>
    <t xml:space="preserve">רכישת ציוד ספורט לבתי"ס </t>
  </si>
  <si>
    <t>מרכז פיס קהילתי רמת אשכול</t>
  </si>
  <si>
    <t>שיפוץ חזיתות ומבנים במקומות שונים</t>
  </si>
  <si>
    <t>תכניות עבודה ואיסטרטגיה</t>
  </si>
  <si>
    <t>מעונות יום</t>
  </si>
  <si>
    <t>מתנ"ס רמות</t>
  </si>
  <si>
    <t>פינוי דירות צווי בית משפט (אספני גרוטאות)</t>
  </si>
  <si>
    <t>ניקיון תחנות אוטובוס</t>
  </si>
  <si>
    <t>שיקום מנהרות וגשרים</t>
  </si>
  <si>
    <t>מיפוי תשתיות דרכים</t>
  </si>
  <si>
    <t>רכש ציוד לחסכון באנרגיה</t>
  </si>
  <si>
    <t>שיקום פארק הכט ,פארק שקמונה, טיילת מרידיאן ואצטדיון</t>
  </si>
  <si>
    <t>שיקום דקים ברחבי העיר</t>
  </si>
  <si>
    <t>שיקום חדרי שירותים ומקוואות</t>
  </si>
  <si>
    <t xml:space="preserve">השלמת תקציב למערכת שו"ב </t>
  </si>
  <si>
    <t>תוכנית אב לספורט</t>
  </si>
  <si>
    <t>ארבעה גנ"י חב"ד</t>
  </si>
  <si>
    <t>בניית 2 גנ"י רמת אשכול</t>
  </si>
  <si>
    <t xml:space="preserve">פרויקטים קטנים, שיפוצים, רכישות, הצטיידות, בטיחות מבני תרבות שונים </t>
  </si>
  <si>
    <t>קישוט העיר, דגלים, מיצגי אור</t>
  </si>
  <si>
    <t>הפירמידה משכן לאומנויות  - השלמות והצטיידות</t>
  </si>
  <si>
    <t>הנגשת מבני תרבות</t>
  </si>
  <si>
    <t>מרכז קהילתי חליסה-תכנון מפורט, הקמה והצטיידות</t>
  </si>
  <si>
    <t>תכנון טיילת קרית חיים חוף כאן</t>
  </si>
  <si>
    <t>תח"צ נו"ש</t>
  </si>
  <si>
    <t>ריהוט כיתות בבתי ספר קיימים</t>
  </si>
  <si>
    <t>פיתוח ליד גנ"י ומבני ציבור</t>
  </si>
  <si>
    <t>התאמה לבתי ספר יחודיים</t>
  </si>
  <si>
    <t>תחנות אוטובוס וסככות ישנות</t>
  </si>
  <si>
    <t>תחבורה,בינוי ותשתיות</t>
  </si>
  <si>
    <t>פינוי פסולת בניין בשטחים עירוניים</t>
  </si>
  <si>
    <t>פינוי אשפה (כולל  גזם, צמיגים ,היטל מיחזור, נייר וקרטון)</t>
  </si>
  <si>
    <t>יישום חוק פסולת אלקטרונית - רכישת מיכלים, פינויים וסוללות</t>
  </si>
  <si>
    <t>שדרוג טמוני קרקע נמל, עצמאות, הכט</t>
  </si>
  <si>
    <t>מבנים מסוכנים, קירות תומכים</t>
  </si>
  <si>
    <t>החלפת עמודי תאורה</t>
  </si>
  <si>
    <t>ציוד תקשורת סלולרית</t>
  </si>
  <si>
    <t>אביזרי בטיחות בתנועה</t>
  </si>
  <si>
    <t>מצלמות לאיתור עבירות</t>
  </si>
  <si>
    <t>שדרוג מצלמות קיימות</t>
  </si>
  <si>
    <t>ניידת חמבגן - הצטיידות, תיקון ובלאי</t>
  </si>
  <si>
    <t>מגרשים חיצוניים, שיפוץ וציפוי ספורטקוט</t>
  </si>
  <si>
    <t>פיתוח ומיתוג עיר תחתית</t>
  </si>
  <si>
    <t>עיר תחתית - שקמונה</t>
  </si>
  <si>
    <t>עבודות בטיחות במקומות שונים</t>
  </si>
  <si>
    <t>מוזיאון טיקוטין - החלפת מערכת מיזוג מרכזית</t>
  </si>
  <si>
    <t>שיפוץ והנגשת הלשכה בקרית חיים</t>
  </si>
  <si>
    <t>תיאטרון עירוני חיפה</t>
  </si>
  <si>
    <t>תפעול והצטיידות אתר אינטרנט</t>
  </si>
  <si>
    <t>תכנון וביצוע שצ"פים</t>
  </si>
  <si>
    <t xml:space="preserve">בית יציב </t>
  </si>
  <si>
    <t>בית נגלר - שיפוצים</t>
  </si>
  <si>
    <t>ידוע ציבור על עבודות בביצוע</t>
  </si>
  <si>
    <t>מרכז קהילתי סביוני דניה  - התאמה</t>
  </si>
  <si>
    <t>בית קהילה אתיופים - ק"ח</t>
  </si>
  <si>
    <t>מרכז קהילתי ימי - אלנבי</t>
  </si>
  <si>
    <t>אולם ספורט -  נאות פרס</t>
  </si>
  <si>
    <t xml:space="preserve">בית אבא חושי - שיפוץ </t>
  </si>
  <si>
    <t>שדרוג ושיפור תשתית בתחנת מעבר דנו ושדרוג דנו</t>
  </si>
  <si>
    <t>פארק הכט (פאמפטק)</t>
  </si>
  <si>
    <t>שירותים מונעים (ציבוריים והצטידות)</t>
  </si>
  <si>
    <t>שטיפות כלליות וחומרים במתחמים מיוחדים</t>
  </si>
  <si>
    <t>חביות לביעור חמץ והגנה לל"ג בעומר</t>
  </si>
  <si>
    <t>דחסניות ומכולות ברחבי העיר</t>
  </si>
  <si>
    <t>מוסך העיריה</t>
  </si>
  <si>
    <t>טיפול באוכלוסיית חזירי בר</t>
  </si>
  <si>
    <t>כלבייה (אחזקה)</t>
  </si>
  <si>
    <t>קרצ"ר</t>
  </si>
  <si>
    <t>מדרכה תלויה מיכאל 1</t>
  </si>
  <si>
    <t>פארק הספורט קרית חיים</t>
  </si>
  <si>
    <t>מח' רמזורים/מרכז ניהול תנועה במטרופולין חיפה</t>
  </si>
  <si>
    <t>גן אברהם שטח ומרכזית חוף הכרמל</t>
  </si>
  <si>
    <t>גן חנה סנש</t>
  </si>
  <si>
    <t>גן הזיכרון כולל אנדרטה</t>
  </si>
  <si>
    <t>גן האם</t>
  </si>
  <si>
    <t>גן הלל</t>
  </si>
  <si>
    <t>ברכה חבאס</t>
  </si>
  <si>
    <t>מתקני כושר הקמה ושיקום</t>
  </si>
  <si>
    <t>שיקום וניקוי חורשות ק"ח וק"א</t>
  </si>
  <si>
    <t>טיפול בואדיות</t>
  </si>
  <si>
    <t>עבודות שיפוץ שונות ופינות גן (בצירים ראשיים)</t>
  </si>
  <si>
    <t>מניעת שריפות-יצירת אזורי חייץ</t>
  </si>
  <si>
    <t>שיפוץ שיקום והעמדת פרגולות</t>
  </si>
  <si>
    <t>גינון בחופים</t>
  </si>
  <si>
    <t>טקסים וחנוכת ככרות</t>
  </si>
  <si>
    <t>רכש מכסחת עשביה</t>
  </si>
  <si>
    <t>ניקיון גנים בשבתות וחגים</t>
  </si>
  <si>
    <t>פרויקט ניקוז - תעלת נחל הגיבורים אזור הנגריות - צו בית משפט</t>
  </si>
  <si>
    <t>תכנית אב לניקוז</t>
  </si>
  <si>
    <t>מגדל הצלה חדש מגדל 4</t>
  </si>
  <si>
    <t>שיפוץ הוליסטי ליד מסעדת הכדרים</t>
  </si>
  <si>
    <t>רכש ציוד הצלה-צו הסדרת חופים חדש</t>
  </si>
  <si>
    <t>הנגשת הלגונה בחוף בת-גלים</t>
  </si>
  <si>
    <t>מבואות דרומיים -  מערכת כבישים וגשר</t>
  </si>
  <si>
    <t>רמת אלמוגי (אנטנות)</t>
  </si>
  <si>
    <t>הילל פינת הציונות תכנון וביצוע שצ"פ</t>
  </si>
  <si>
    <t>גן הזיכרון</t>
  </si>
  <si>
    <t>פינויים כולל קיוסקים</t>
  </si>
  <si>
    <t>הנגשה חושית (מערכות כריזה ושילוט) - כרמלית</t>
  </si>
  <si>
    <t>קמפיין שילוב הכרמלית בכרטיס רב-קו</t>
  </si>
  <si>
    <t>הצללת חצרות בת"ס וגנ"י</t>
  </si>
  <si>
    <t>מדרגות חירום</t>
  </si>
  <si>
    <t>שיפוץ ספריית אלכראמה</t>
  </si>
  <si>
    <t>שיקום מסלול באיצטדיון את"ק</t>
  </si>
  <si>
    <t>הצטידות איצטדיון את"ק</t>
  </si>
  <si>
    <t>תחזיות ועיבודים לתאו"ם ותכנית איסטרטגית</t>
  </si>
  <si>
    <t>שיפוץ מרכז קהילתי בת גלים</t>
  </si>
  <si>
    <t>שיפוץ בית צארנה</t>
  </si>
  <si>
    <t>עירוני ה' - אולם כנסים</t>
  </si>
  <si>
    <t>שמונה כיתות גנ"י - יחל ישראל</t>
  </si>
  <si>
    <t>תכנון ומדידות</t>
  </si>
  <si>
    <t>תכנון רה ארגון-הסבת חוגים לבי"ס יסודי</t>
  </si>
  <si>
    <t>התאמת בית רוטברג לגני ילדים</t>
  </si>
  <si>
    <t>בית ספר הפתוח-תוספת אגף</t>
  </si>
  <si>
    <t>הנגשה כללית - מוסדות חינוך</t>
  </si>
  <si>
    <t>חיוואר בניה ורה ארגון - תוספת אגף</t>
  </si>
  <si>
    <t>בי"ס נופים-אגף חדש</t>
  </si>
  <si>
    <t xml:space="preserve">בית יעקב יסודי - אגף חדש </t>
  </si>
  <si>
    <t>גן בק. חיים מזרחית</t>
  </si>
  <si>
    <t>התאמת כיתות לילדים לקויי שמיעה</t>
  </si>
  <si>
    <t>התאמת כיתות לילדים לקויי ראיה</t>
  </si>
  <si>
    <t>בי"ס חוגים -  תיכון מקיף 42 כתות</t>
  </si>
  <si>
    <t>הנגשת אירועים</t>
  </si>
  <si>
    <t>הנגשת אינטרנט</t>
  </si>
  <si>
    <t>שיקום פסלים בואדי ניסנס-בית הגפן</t>
  </si>
  <si>
    <t>הקמת אמפיתיאטרון</t>
  </si>
  <si>
    <t>רכבת שדים בכרמלית</t>
  </si>
  <si>
    <t>תחנה קולינרית בהדר</t>
  </si>
  <si>
    <t>שיפוץ מבנים והצטידות לילדים בסיכון</t>
  </si>
  <si>
    <t>שיפוץ דירות  לנערים ונערות בסיכון</t>
  </si>
  <si>
    <t>טיפול בגשרים ומבני דרך</t>
  </si>
  <si>
    <t>אויר נקי</t>
  </si>
  <si>
    <t>שבילי אופניים ברחבי העיר</t>
  </si>
  <si>
    <t>מט"י -שיפוצים והצטידות</t>
  </si>
  <si>
    <t>התקנת מערכות לפינוי עשן במוזיאון הימי ובמוזיאון טיקוטין</t>
  </si>
  <si>
    <t>תצוגת קבע במוזיאון העיר-ביה"ס הטמפלרי</t>
  </si>
  <si>
    <t>בית ספר יסודי רמת הנשיא - 18 כתות</t>
  </si>
  <si>
    <t>שכונת האצטדיון ק. אליעזר</t>
  </si>
  <si>
    <t>גן ציפורה זייד</t>
  </si>
  <si>
    <t>סקר נגישות גנים ציבוריים</t>
  </si>
  <si>
    <t>הסדרת מדרכה בשער פלמר 39 החלטת בית משפט</t>
  </si>
  <si>
    <t>גנרטור לכביש המשוקע בכניסה למנהרות</t>
  </si>
  <si>
    <t>טמוני קרקע בויז'ניץ</t>
  </si>
  <si>
    <t>גן אבשלום</t>
  </si>
  <si>
    <t>מזכיר העיר-אתרי אינטרנט למדריך רחובות ושילוט הסטורי</t>
  </si>
  <si>
    <t>גני משחק.</t>
  </si>
  <si>
    <t>תכניות מדיניות כלל עירונית</t>
  </si>
  <si>
    <t>קידום תכניות על קרקעות עירוניות</t>
  </si>
  <si>
    <t>רמת הנשיא (חביב) - סלילה</t>
  </si>
  <si>
    <t>שיקום שכונת הדר - מזרח</t>
  </si>
  <si>
    <t>הצטידות מרכזים קהילתיים</t>
  </si>
  <si>
    <t>מתוכנן</t>
  </si>
  <si>
    <t>הפרש מתכנון</t>
  </si>
  <si>
    <t>מחשב לכל ילד (נייח)</t>
  </si>
  <si>
    <t>מחשב לכל תלמיד (נייד)</t>
  </si>
  <si>
    <t>שיקום ספורטק</t>
  </si>
  <si>
    <t>מערכת מחשובית לשקילה בתחנות מעבר וניהול כלי אצירה ומערכות מכניות לפסולת ומחזור</t>
  </si>
  <si>
    <t>מתקנים למכבייה</t>
  </si>
  <si>
    <t>פארק ספורט בק. חיים-מגרשי טניס וטנ"ש</t>
  </si>
  <si>
    <t>שוק תלפיות</t>
  </si>
  <si>
    <t>חידוש המתחם המסחרי העירוני</t>
  </si>
  <si>
    <t>טיילת הבה"ד</t>
  </si>
  <si>
    <t>חיזוק מבני חינוך כנגד רעידות אדמה</t>
  </si>
  <si>
    <t>שיפוץ והצטידות - חינוך</t>
  </si>
  <si>
    <t>שיפוץ הוליסטי בחוף בת-גלים</t>
  </si>
  <si>
    <t>מצלמות לחופים</t>
  </si>
  <si>
    <t>פרוייקט חותם בשיתוף מ.החינוך</t>
  </si>
  <si>
    <t>בית מילר- השלמות שיפוץ  והצטיידות</t>
  </si>
  <si>
    <t xml:space="preserve">תקציב פיתוח 2017  </t>
  </si>
  <si>
    <t>מערך לשיתוף רכב חשמלי</t>
  </si>
  <si>
    <t>עמודה9</t>
  </si>
  <si>
    <t>מס' סידורי</t>
  </si>
  <si>
    <t>נושא העבודה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</si>
</sst>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b/>
      <sz val="20"/>
      <name val="Arial"/>
      <family val="2"/>
    </font>
    <font>
      <sz val="20"/>
      <name val="Times New Roman"/>
      <family val="1"/>
      <charset val="177"/>
    </font>
    <font>
      <b/>
      <u/>
      <sz val="20"/>
      <name val="Arial"/>
      <family val="2"/>
    </font>
    <font>
      <sz val="20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b/>
      <sz val="20"/>
      <name val="Times New Roman"/>
      <family val="1"/>
      <charset val="177"/>
    </font>
    <font>
      <u/>
      <sz val="10"/>
      <color indexed="12"/>
      <name val="Arial"/>
      <family val="2"/>
    </font>
    <font>
      <sz val="24"/>
      <name val="Times New Roman"/>
      <family val="1"/>
    </font>
    <font>
      <sz val="20"/>
      <name val="MS Sans Serif"/>
      <family val="2"/>
      <charset val="177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u/>
      <sz val="12"/>
      <name val="Arial"/>
      <family val="2"/>
    </font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20"/>
      <color rgb="FFFF0000"/>
      <name val="Times New Roman"/>
      <family val="1"/>
    </font>
    <font>
      <sz val="20"/>
      <color rgb="FFFF0000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horizontal="right" vertical="center"/>
    </xf>
    <xf numFmtId="164" fontId="5" fillId="0" borderId="5" xfId="1" applyNumberFormat="1" applyFont="1" applyFill="1" applyBorder="1" applyAlignment="1">
      <alignment horizontal="right" vertical="center" wrapText="1"/>
    </xf>
    <xf numFmtId="3" fontId="4" fillId="0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horizontal="right" vertical="center"/>
    </xf>
    <xf numFmtId="3" fontId="4" fillId="0" borderId="5" xfId="2" applyNumberFormat="1" applyFont="1" applyFill="1" applyBorder="1" applyAlignment="1">
      <alignment horizontal="right" vertical="center"/>
    </xf>
    <xf numFmtId="164" fontId="4" fillId="0" borderId="5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/>
    <xf numFmtId="0" fontId="12" fillId="0" borderId="0" xfId="0" applyFont="1" applyFill="1"/>
    <xf numFmtId="0" fontId="0" fillId="0" borderId="0" xfId="0" applyFill="1"/>
    <xf numFmtId="0" fontId="18" fillId="0" borderId="0" xfId="0" applyFont="1" applyFill="1"/>
    <xf numFmtId="164" fontId="4" fillId="0" borderId="0" xfId="0" applyNumberFormat="1" applyFont="1" applyFill="1" applyAlignment="1">
      <alignment vertical="center"/>
    </xf>
    <xf numFmtId="3" fontId="19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wrapText="1"/>
    </xf>
    <xf numFmtId="0" fontId="0" fillId="0" borderId="0" xfId="0" applyAlignment="1">
      <alignment wrapText="1"/>
    </xf>
    <xf numFmtId="164" fontId="13" fillId="3" borderId="6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4" fillId="0" borderId="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right" vertical="center" wrapText="1"/>
    </xf>
    <xf numFmtId="164" fontId="15" fillId="0" borderId="5" xfId="1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/>
    </xf>
    <xf numFmtId="0" fontId="0" fillId="3" borderId="5" xfId="0" applyFill="1" applyBorder="1" applyAlignment="1"/>
    <xf numFmtId="0" fontId="14" fillId="3" borderId="5" xfId="0" applyFont="1" applyFill="1" applyBorder="1" applyAlignment="1">
      <alignment horizontal="center" wrapText="1"/>
    </xf>
    <xf numFmtId="164" fontId="21" fillId="3" borderId="5" xfId="1" applyNumberFormat="1" applyFont="1" applyFill="1" applyBorder="1" applyAlignment="1"/>
    <xf numFmtId="0" fontId="16" fillId="3" borderId="5" xfId="0" applyFont="1" applyFill="1" applyBorder="1" applyAlignment="1">
      <alignment horizontal="center" wrapText="1"/>
    </xf>
    <xf numFmtId="0" fontId="0" fillId="3" borderId="0" xfId="0" applyFill="1"/>
    <xf numFmtId="164" fontId="0" fillId="3" borderId="0" xfId="0" applyNumberFormat="1" applyFill="1"/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164" fontId="5" fillId="0" borderId="7" xfId="1" applyNumberFormat="1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right" vertical="center" wrapText="1"/>
    </xf>
    <xf numFmtId="164" fontId="5" fillId="3" borderId="5" xfId="1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3" applyNumberFormat="1" applyFont="1" applyFill="1" applyBorder="1" applyAlignment="1" applyProtection="1">
      <alignment horizontal="right" vertical="center"/>
    </xf>
    <xf numFmtId="3" fontId="20" fillId="3" borderId="5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right" vertical="center" wrapText="1"/>
    </xf>
    <xf numFmtId="164" fontId="5" fillId="3" borderId="7" xfId="1" applyNumberFormat="1" applyFont="1" applyFill="1" applyBorder="1" applyAlignment="1">
      <alignment horizontal="right" vertical="center" wrapText="1"/>
    </xf>
    <xf numFmtId="0" fontId="14" fillId="3" borderId="4" xfId="0" applyFont="1" applyFill="1" applyBorder="1" applyAlignment="1">
      <alignment horizontal="right" vertical="center" wrapText="1"/>
    </xf>
    <xf numFmtId="0" fontId="22" fillId="3" borderId="9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64" fontId="15" fillId="3" borderId="5" xfId="1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64" fontId="15" fillId="3" borderId="7" xfId="1" applyNumberFormat="1" applyFont="1" applyFill="1" applyBorder="1" applyAlignment="1">
      <alignment horizontal="right" vertical="center" wrapText="1"/>
    </xf>
    <xf numFmtId="0" fontId="0" fillId="3" borderId="2" xfId="0" applyFill="1" applyBorder="1" applyAlignment="1"/>
    <xf numFmtId="0" fontId="0" fillId="3" borderId="13" xfId="0" applyFill="1" applyBorder="1" applyAlignment="1"/>
    <xf numFmtId="164" fontId="21" fillId="3" borderId="13" xfId="1" applyNumberFormat="1" applyFont="1" applyFill="1" applyBorder="1" applyAlignment="1"/>
    <xf numFmtId="0" fontId="14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3" borderId="11" xfId="0" applyFill="1" applyBorder="1" applyAlignment="1"/>
    <xf numFmtId="0" fontId="14" fillId="3" borderId="7" xfId="0" applyFont="1" applyFill="1" applyBorder="1" applyAlignment="1">
      <alignment horizontal="center" wrapText="1"/>
    </xf>
    <xf numFmtId="164" fontId="21" fillId="3" borderId="7" xfId="1" applyNumberFormat="1" applyFont="1" applyFill="1" applyBorder="1" applyAlignment="1"/>
    <xf numFmtId="164" fontId="21" fillId="3" borderId="12" xfId="1" applyNumberFormat="1" applyFont="1" applyFill="1" applyBorder="1" applyAlignment="1"/>
    <xf numFmtId="0" fontId="14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4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טבלה1" displayName="טבלה1" ref="F6:O482" totalsRowShown="0" headerRowDxfId="40" dataDxfId="38" headerRowBorderDxfId="39" tableBorderDxfId="37" dataCellStyle="Comma">
  <autoFilter ref="F6:O482"/>
  <tableColumns count="10">
    <tableColumn id="1" name="מס' סידורי" dataDxfId="36"/>
    <tableColumn id="2" name="נושא העבודה" dataDxfId="35"/>
    <tableColumn id="3" name="תקציב רב שנתי" dataDxfId="34" dataCellStyle="Comma"/>
    <tableColumn id="4" name="תקציב פיתוח 2017  " dataDxfId="33" dataCellStyle="Comma"/>
    <tableColumn id="5" name="ממשלה ומוסדות" dataDxfId="32" dataCellStyle="Comma"/>
    <tableColumn id="6" name="היטל השבחה" dataDxfId="31" dataCellStyle="Comma"/>
    <tableColumn id="7" name="בעלים" dataDxfId="30" dataCellStyle="Comma"/>
    <tableColumn id="8" name="הלוואות" dataDxfId="29" dataCellStyle="Comma"/>
    <tableColumn id="9" name="מכירת נכסים" dataDxfId="28" dataCellStyle="Comma"/>
    <tableColumn id="10" name="עמודה9" dataDxfId="27" dataCellStyle="Comma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תקציב פיתוח לשנת 2017" altTextSummary="טבלה המציגה מידע מפורט אודות תקציב העירייה לשנת 2017"/>
    </ext>
  </extLst>
</table>
</file>

<file path=xl/tables/table2.xml><?xml version="1.0" encoding="utf-8"?>
<table xmlns="http://schemas.openxmlformats.org/spreadsheetml/2006/main" id="2" name="טבלה2" displayName="טבלה2" ref="B5:J15" totalsRowShown="0" headerRowDxfId="15" dataDxfId="14" headerRowBorderDxfId="25" tableBorderDxfId="26" dataCellStyle="Comma">
  <autoFilter ref="B5:J15"/>
  <tableColumns count="9">
    <tableColumn id="1" name="מס' סידורי" dataDxfId="24"/>
    <tableColumn id="2" name="נושא העבודה" dataDxfId="23"/>
    <tableColumn id="3" name="תקציב רב שנתי" dataDxfId="22" dataCellStyle="Comma"/>
    <tableColumn id="4" name="תקציב פיתוח 2017  " dataDxfId="21" dataCellStyle="Comma"/>
    <tableColumn id="5" name="ממשלה ומוסדות" dataDxfId="20" dataCellStyle="Comma"/>
    <tableColumn id="6" name="היטל השבחה" dataDxfId="19" dataCellStyle="Comma"/>
    <tableColumn id="7" name="בעלים" dataDxfId="18" dataCellStyle="Comma"/>
    <tableColumn id="8" name="הלוואות" dataDxfId="17" dataCellStyle="Comma"/>
    <tableColumn id="9" name="מכירת נכסים" dataDxfId="16" dataCellStyle="Comma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תקציב פיתוח לשנת 2017" altTextSummary="תקציב פיתוח לשנת 2017 - ריכוז"/>
    </ext>
  </extLst>
</table>
</file>

<file path=xl/tables/table3.xml><?xml version="1.0" encoding="utf-8"?>
<table xmlns="http://schemas.openxmlformats.org/spreadsheetml/2006/main" id="3" name="טבלה3" displayName="טבלה3" ref="B3:J53" totalsRowShown="0" headerRowDxfId="1" dataDxfId="0" headerRowBorderDxfId="12" tableBorderDxfId="13" totalsRowBorderDxfId="11" dataCellStyle="Comma">
  <autoFilter ref="B3:J53"/>
  <tableColumns count="9">
    <tableColumn id="1" name="מס' סידורי" dataDxfId="10"/>
    <tableColumn id="2" name="נושא העבודה" dataDxfId="9"/>
    <tableColumn id="3" name="תקציב רב שנתי" dataDxfId="8" dataCellStyle="Comma"/>
    <tableColumn id="4" name="תקציב פיתוח 2017  " dataDxfId="7" dataCellStyle="Comma"/>
    <tableColumn id="5" name="ממשלה ומוסדות" dataDxfId="6" dataCellStyle="Comma"/>
    <tableColumn id="6" name="היטל השבחה" dataDxfId="5" dataCellStyle="Comma"/>
    <tableColumn id="7" name="בעלים" dataDxfId="4" dataCellStyle="Comma"/>
    <tableColumn id="8" name="הלוואות" dataDxfId="3" dataCellStyle="Comma"/>
    <tableColumn id="9" name="מכירת נכסים" dataDxfId="2" dataCellStyle="Comma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תקציב פיתוח לשנת 2017" altTextSummary="תקציב פיתוח לשנת 2017 - מרוכז לפי האגפים השונ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Z820"/>
  <sheetViews>
    <sheetView rightToLeft="1" tabSelected="1" zoomScale="70" zoomScaleNormal="70" workbookViewId="0">
      <pane ySplit="7" topLeftCell="A8" activePane="bottomLeft" state="frozen"/>
      <selection activeCell="G1" sqref="G1"/>
      <selection pane="bottomLeft" activeCell="R7" sqref="R7:W7"/>
    </sheetView>
  </sheetViews>
  <sheetFormatPr defaultRowHeight="14.25" x14ac:dyDescent="0.2"/>
  <cols>
    <col min="3" max="3" width="2" bestFit="1" customWidth="1"/>
    <col min="5" max="5" width="4.25" customWidth="1"/>
    <col min="6" max="6" width="21.875" bestFit="1" customWidth="1"/>
    <col min="7" max="7" width="58.25" style="28" customWidth="1"/>
    <col min="8" max="8" width="26.5" style="22" bestFit="1" customWidth="1"/>
    <col min="9" max="9" width="33.75" bestFit="1" customWidth="1"/>
    <col min="10" max="10" width="27.625" bestFit="1" customWidth="1"/>
    <col min="11" max="11" width="23.5" bestFit="1" customWidth="1"/>
    <col min="12" max="12" width="21.5" bestFit="1" customWidth="1"/>
    <col min="13" max="13" width="21.25" bestFit="1" customWidth="1"/>
    <col min="14" max="14" width="21.125" customWidth="1"/>
    <col min="15" max="15" width="21.5" hidden="1" customWidth="1"/>
    <col min="16" max="16" width="22.875" hidden="1" customWidth="1"/>
    <col min="17" max="17" width="20.25" style="21" hidden="1" customWidth="1"/>
    <col min="18" max="18" width="24.375" hidden="1" customWidth="1"/>
    <col min="19" max="19" width="19" hidden="1" customWidth="1"/>
    <col min="20" max="21" width="21.5" hidden="1" customWidth="1"/>
    <col min="22" max="22" width="18.25" hidden="1" customWidth="1"/>
    <col min="23" max="23" width="21.5" hidden="1" customWidth="1"/>
    <col min="24" max="24" width="0.25" hidden="1" customWidth="1"/>
    <col min="26" max="26" width="12.875" bestFit="1" customWidth="1"/>
  </cols>
  <sheetData>
    <row r="6" spans="6:26" ht="73.5" customHeight="1" x14ac:dyDescent="0.2">
      <c r="F6" s="87" t="s">
        <v>483</v>
      </c>
      <c r="G6" s="45" t="s">
        <v>484</v>
      </c>
      <c r="H6" s="46" t="s">
        <v>8</v>
      </c>
      <c r="I6" s="46" t="s">
        <v>480</v>
      </c>
      <c r="J6" s="46" t="s">
        <v>3</v>
      </c>
      <c r="K6" s="46" t="s">
        <v>4</v>
      </c>
      <c r="L6" s="46" t="s">
        <v>5</v>
      </c>
      <c r="M6" s="46" t="s">
        <v>6</v>
      </c>
      <c r="N6" s="46" t="s">
        <v>7</v>
      </c>
      <c r="O6" s="42" t="s">
        <v>482</v>
      </c>
      <c r="P6" s="1"/>
      <c r="Q6" s="1"/>
      <c r="R6" s="1"/>
      <c r="S6" s="1"/>
      <c r="T6" s="1"/>
      <c r="U6" s="1"/>
      <c r="V6" s="1"/>
      <c r="W6" s="2"/>
    </row>
    <row r="7" spans="6:26" ht="26.25" hidden="1" customHeight="1" x14ac:dyDescent="0.2">
      <c r="F7" s="47" t="s">
        <v>0</v>
      </c>
      <c r="G7" s="48" t="s">
        <v>1</v>
      </c>
      <c r="H7" s="49"/>
      <c r="I7" s="44"/>
      <c r="J7" s="44"/>
      <c r="K7" s="44"/>
      <c r="L7" s="44"/>
      <c r="M7" s="44"/>
      <c r="N7" s="44"/>
      <c r="O7" s="41"/>
      <c r="P7" s="3"/>
      <c r="Q7" s="4"/>
      <c r="R7" s="88" t="s">
        <v>2</v>
      </c>
      <c r="S7" s="89"/>
      <c r="T7" s="89"/>
      <c r="U7" s="89"/>
      <c r="V7" s="89"/>
      <c r="W7" s="90"/>
    </row>
    <row r="8" spans="6:26" ht="60" customHeight="1" x14ac:dyDescent="0.2">
      <c r="F8" s="50">
        <v>10100</v>
      </c>
      <c r="G8" s="51" t="s">
        <v>9</v>
      </c>
      <c r="H8" s="52"/>
      <c r="I8" s="52"/>
      <c r="J8" s="52"/>
      <c r="K8" s="52"/>
      <c r="L8" s="52"/>
      <c r="M8" s="52"/>
      <c r="N8" s="52"/>
      <c r="O8" s="5"/>
      <c r="P8" s="5"/>
      <c r="Q8" s="5"/>
      <c r="R8" s="5"/>
      <c r="S8" s="5"/>
      <c r="T8" s="5"/>
      <c r="U8" s="5"/>
      <c r="V8" s="5"/>
      <c r="W8" s="5"/>
      <c r="X8" s="6"/>
    </row>
    <row r="9" spans="6:26" ht="60" customHeight="1" x14ac:dyDescent="0.2">
      <c r="F9" s="50">
        <f>F8+1</f>
        <v>10101</v>
      </c>
      <c r="G9" s="53" t="s">
        <v>10</v>
      </c>
      <c r="H9" s="54">
        <f>8960000-I9</f>
        <v>4960000</v>
      </c>
      <c r="I9" s="54">
        <v>4000000</v>
      </c>
      <c r="J9" s="52"/>
      <c r="K9" s="52"/>
      <c r="L9" s="54"/>
      <c r="M9" s="52"/>
      <c r="N9" s="54">
        <f>I9-M9</f>
        <v>4000000</v>
      </c>
      <c r="O9" s="7">
        <f>SUM(K9:N9)</f>
        <v>4000000</v>
      </c>
      <c r="P9" s="7"/>
      <c r="Q9" s="7"/>
      <c r="R9" s="7"/>
      <c r="S9" s="7"/>
      <c r="T9" s="7"/>
      <c r="U9" s="7"/>
      <c r="V9" s="7"/>
      <c r="W9" s="5">
        <f>V9+U9+T9+S9</f>
        <v>0</v>
      </c>
      <c r="X9" s="6">
        <f>Q9-R9-W9</f>
        <v>0</v>
      </c>
      <c r="Z9" s="30">
        <f>I9-J9-SUM(K9:N9)</f>
        <v>0</v>
      </c>
    </row>
    <row r="10" spans="6:26" ht="60" customHeight="1" x14ac:dyDescent="0.2">
      <c r="F10" s="55"/>
      <c r="G10" s="56" t="s">
        <v>11</v>
      </c>
      <c r="H10" s="57">
        <f t="shared" ref="H10:W10" si="0">SUM(H9:H9)</f>
        <v>4960000</v>
      </c>
      <c r="I10" s="57">
        <f t="shared" si="0"/>
        <v>4000000</v>
      </c>
      <c r="J10" s="57">
        <f t="shared" si="0"/>
        <v>0</v>
      </c>
      <c r="K10" s="57">
        <f t="shared" si="0"/>
        <v>0</v>
      </c>
      <c r="L10" s="57">
        <f t="shared" si="0"/>
        <v>0</v>
      </c>
      <c r="M10" s="57">
        <f t="shared" si="0"/>
        <v>0</v>
      </c>
      <c r="N10" s="57">
        <f t="shared" si="0"/>
        <v>4000000</v>
      </c>
      <c r="O10" s="6">
        <f t="shared" si="0"/>
        <v>4000000</v>
      </c>
      <c r="P10" s="6">
        <f t="shared" si="0"/>
        <v>0</v>
      </c>
      <c r="Q10" s="6">
        <f t="shared" si="0"/>
        <v>0</v>
      </c>
      <c r="R10" s="6">
        <f t="shared" si="0"/>
        <v>0</v>
      </c>
      <c r="S10" s="6">
        <f t="shared" si="0"/>
        <v>0</v>
      </c>
      <c r="T10" s="6">
        <f t="shared" si="0"/>
        <v>0</v>
      </c>
      <c r="U10" s="6">
        <f t="shared" si="0"/>
        <v>0</v>
      </c>
      <c r="V10" s="6">
        <f t="shared" si="0"/>
        <v>0</v>
      </c>
      <c r="W10" s="6">
        <f t="shared" si="0"/>
        <v>0</v>
      </c>
      <c r="X10" s="6">
        <f t="shared" ref="X10:X31" si="1">Q10-R10-W10</f>
        <v>0</v>
      </c>
      <c r="Z10" s="30">
        <f t="shared" ref="Z10:Z71" si="2">I10-J10-SUM(K10:N10)</f>
        <v>0</v>
      </c>
    </row>
    <row r="11" spans="6:26" ht="60" customHeight="1" x14ac:dyDescent="0.2">
      <c r="F11" s="50"/>
      <c r="G11" s="51" t="s">
        <v>12</v>
      </c>
      <c r="H11" s="52"/>
      <c r="I11" s="52"/>
      <c r="J11" s="52"/>
      <c r="K11" s="52"/>
      <c r="L11" s="52"/>
      <c r="M11" s="52"/>
      <c r="N11" s="52"/>
      <c r="O11" s="5"/>
      <c r="P11" s="5"/>
      <c r="Q11" s="5"/>
      <c r="R11" s="5"/>
      <c r="S11" s="5"/>
      <c r="T11" s="5"/>
      <c r="U11" s="5"/>
      <c r="V11" s="5"/>
      <c r="W11" s="5"/>
      <c r="X11" s="6">
        <f t="shared" si="1"/>
        <v>0</v>
      </c>
      <c r="Z11" s="30">
        <f t="shared" si="2"/>
        <v>0</v>
      </c>
    </row>
    <row r="12" spans="6:26" ht="60" customHeight="1" x14ac:dyDescent="0.2">
      <c r="F12" s="50">
        <v>20100</v>
      </c>
      <c r="G12" s="51" t="s">
        <v>13</v>
      </c>
      <c r="H12" s="52"/>
      <c r="I12" s="52"/>
      <c r="J12" s="52"/>
      <c r="K12" s="52"/>
      <c r="L12" s="52"/>
      <c r="M12" s="52"/>
      <c r="N12" s="52"/>
      <c r="O12" s="5"/>
      <c r="P12" s="5"/>
      <c r="Q12" s="5"/>
      <c r="R12" s="5"/>
      <c r="S12" s="5"/>
      <c r="T12" s="5"/>
      <c r="U12" s="5"/>
      <c r="V12" s="5"/>
      <c r="W12" s="5"/>
      <c r="X12" s="6">
        <f t="shared" si="1"/>
        <v>0</v>
      </c>
      <c r="Z12" s="30">
        <f t="shared" si="2"/>
        <v>0</v>
      </c>
    </row>
    <row r="13" spans="6:26" ht="60" customHeight="1" x14ac:dyDescent="0.2">
      <c r="F13" s="50">
        <f>+F12+1</f>
        <v>20101</v>
      </c>
      <c r="G13" s="53" t="s">
        <v>14</v>
      </c>
      <c r="H13" s="52"/>
      <c r="I13" s="52">
        <v>1000000</v>
      </c>
      <c r="J13" s="52"/>
      <c r="K13" s="52"/>
      <c r="L13" s="52"/>
      <c r="M13" s="52">
        <f>I13</f>
        <v>1000000</v>
      </c>
      <c r="N13" s="52"/>
      <c r="O13" s="7">
        <f>SUM(K13:N13)</f>
        <v>1000000</v>
      </c>
      <c r="P13" s="5"/>
      <c r="Q13" s="5"/>
      <c r="R13" s="5"/>
      <c r="S13" s="5"/>
      <c r="T13" s="5"/>
      <c r="U13" s="5"/>
      <c r="V13" s="5"/>
      <c r="W13" s="5">
        <f>V13+U13+T13+S13</f>
        <v>0</v>
      </c>
      <c r="X13" s="6">
        <f t="shared" si="1"/>
        <v>0</v>
      </c>
      <c r="Z13" s="30">
        <f t="shared" si="2"/>
        <v>0</v>
      </c>
    </row>
    <row r="14" spans="6:26" ht="60" customHeight="1" x14ac:dyDescent="0.2">
      <c r="F14" s="50">
        <f>+F13+1</f>
        <v>20102</v>
      </c>
      <c r="G14" s="53" t="s">
        <v>15</v>
      </c>
      <c r="H14" s="52">
        <f>2000000-I14</f>
        <v>1000000</v>
      </c>
      <c r="I14" s="52">
        <v>1000000</v>
      </c>
      <c r="J14" s="52"/>
      <c r="K14" s="52"/>
      <c r="L14" s="52"/>
      <c r="M14" s="52"/>
      <c r="N14" s="52">
        <f>I14</f>
        <v>1000000</v>
      </c>
      <c r="O14" s="7">
        <f>SUM(K14:N14)</f>
        <v>1000000</v>
      </c>
      <c r="P14" s="5"/>
      <c r="Q14" s="5"/>
      <c r="R14" s="5"/>
      <c r="S14" s="5"/>
      <c r="T14" s="5"/>
      <c r="U14" s="5"/>
      <c r="V14" s="5"/>
      <c r="W14" s="5">
        <f>V14+U14+T14+S14</f>
        <v>0</v>
      </c>
      <c r="X14" s="6">
        <f t="shared" si="1"/>
        <v>0</v>
      </c>
      <c r="Z14" s="30">
        <f t="shared" si="2"/>
        <v>0</v>
      </c>
    </row>
    <row r="15" spans="6:26" ht="60" customHeight="1" x14ac:dyDescent="0.2">
      <c r="F15" s="50">
        <f>+F14+1</f>
        <v>20103</v>
      </c>
      <c r="G15" s="53" t="s">
        <v>16</v>
      </c>
      <c r="H15" s="52"/>
      <c r="I15" s="52">
        <v>15000000</v>
      </c>
      <c r="J15" s="52"/>
      <c r="K15" s="52">
        <v>5000000</v>
      </c>
      <c r="L15" s="52"/>
      <c r="M15" s="52"/>
      <c r="N15" s="52">
        <f>I15-K15</f>
        <v>10000000</v>
      </c>
      <c r="O15" s="7">
        <f>SUM(K15:N15)</f>
        <v>15000000</v>
      </c>
      <c r="P15" s="5"/>
      <c r="Q15" s="5"/>
      <c r="R15" s="5"/>
      <c r="S15" s="5"/>
      <c r="T15" s="5"/>
      <c r="U15" s="5"/>
      <c r="V15" s="5"/>
      <c r="W15" s="5">
        <f>V15+U15+T15+S15</f>
        <v>0</v>
      </c>
      <c r="X15" s="6">
        <f t="shared" si="1"/>
        <v>0</v>
      </c>
      <c r="Z15" s="30">
        <f t="shared" si="2"/>
        <v>0</v>
      </c>
    </row>
    <row r="16" spans="6:26" ht="60" customHeight="1" x14ac:dyDescent="0.2">
      <c r="F16" s="50">
        <f>+F15+1</f>
        <v>20104</v>
      </c>
      <c r="G16" s="53" t="s">
        <v>314</v>
      </c>
      <c r="H16" s="52"/>
      <c r="I16" s="52">
        <v>1000000</v>
      </c>
      <c r="J16" s="52"/>
      <c r="K16" s="52"/>
      <c r="L16" s="52"/>
      <c r="M16" s="52"/>
      <c r="N16" s="52">
        <f>I16</f>
        <v>1000000</v>
      </c>
      <c r="O16" s="7">
        <f>SUM(K16:N16)</f>
        <v>1000000</v>
      </c>
      <c r="P16" s="5"/>
      <c r="Q16" s="5"/>
      <c r="R16" s="5"/>
      <c r="S16" s="5"/>
      <c r="T16" s="5"/>
      <c r="U16" s="5"/>
      <c r="V16" s="5"/>
      <c r="W16" s="5">
        <f>V16+U16+T16+S16</f>
        <v>0</v>
      </c>
      <c r="X16" s="6">
        <f t="shared" si="1"/>
        <v>0</v>
      </c>
      <c r="Z16" s="30">
        <f t="shared" si="2"/>
        <v>0</v>
      </c>
    </row>
    <row r="17" spans="6:26" ht="60" customHeight="1" x14ac:dyDescent="0.2">
      <c r="F17" s="50">
        <f>+F16+1</f>
        <v>20105</v>
      </c>
      <c r="G17" s="53" t="s">
        <v>442</v>
      </c>
      <c r="H17" s="52"/>
      <c r="I17" s="52">
        <v>10000000</v>
      </c>
      <c r="J17" s="52"/>
      <c r="K17" s="52"/>
      <c r="L17" s="52">
        <f>I17</f>
        <v>10000000</v>
      </c>
      <c r="M17" s="52"/>
      <c r="N17" s="52"/>
      <c r="O17" s="7">
        <f>SUM(K17:N17)</f>
        <v>10000000</v>
      </c>
      <c r="P17" s="5"/>
      <c r="Q17" s="5"/>
      <c r="R17" s="5"/>
      <c r="S17" s="5"/>
      <c r="T17" s="5"/>
      <c r="U17" s="5"/>
      <c r="V17" s="5"/>
      <c r="W17" s="5"/>
      <c r="X17" s="6"/>
      <c r="Z17" s="30">
        <f t="shared" si="2"/>
        <v>0</v>
      </c>
    </row>
    <row r="18" spans="6:26" ht="60" customHeight="1" x14ac:dyDescent="0.2">
      <c r="F18" s="58"/>
      <c r="G18" s="56" t="s">
        <v>17</v>
      </c>
      <c r="H18" s="57">
        <f t="shared" ref="H18:W18" si="3">SUM(H13:H17)</f>
        <v>1000000</v>
      </c>
      <c r="I18" s="57">
        <f t="shared" si="3"/>
        <v>28000000</v>
      </c>
      <c r="J18" s="57">
        <f t="shared" si="3"/>
        <v>0</v>
      </c>
      <c r="K18" s="57">
        <f t="shared" si="3"/>
        <v>5000000</v>
      </c>
      <c r="L18" s="57">
        <f t="shared" si="3"/>
        <v>10000000</v>
      </c>
      <c r="M18" s="57">
        <f t="shared" si="3"/>
        <v>1000000</v>
      </c>
      <c r="N18" s="57">
        <f t="shared" si="3"/>
        <v>12000000</v>
      </c>
      <c r="O18" s="6">
        <f t="shared" si="3"/>
        <v>28000000</v>
      </c>
      <c r="P18" s="6">
        <f t="shared" si="3"/>
        <v>0</v>
      </c>
      <c r="Q18" s="6">
        <f t="shared" si="3"/>
        <v>0</v>
      </c>
      <c r="R18" s="6">
        <f t="shared" si="3"/>
        <v>0</v>
      </c>
      <c r="S18" s="6">
        <f t="shared" si="3"/>
        <v>0</v>
      </c>
      <c r="T18" s="6">
        <f t="shared" si="3"/>
        <v>0</v>
      </c>
      <c r="U18" s="6">
        <f t="shared" si="3"/>
        <v>0</v>
      </c>
      <c r="V18" s="6">
        <f t="shared" si="3"/>
        <v>0</v>
      </c>
      <c r="W18" s="6">
        <f t="shared" si="3"/>
        <v>0</v>
      </c>
      <c r="X18" s="6">
        <f t="shared" si="1"/>
        <v>0</v>
      </c>
      <c r="Z18" s="30">
        <f t="shared" si="2"/>
        <v>0</v>
      </c>
    </row>
    <row r="19" spans="6:26" ht="60" customHeight="1" x14ac:dyDescent="0.2">
      <c r="F19" s="50">
        <v>20200</v>
      </c>
      <c r="G19" s="51" t="s">
        <v>18</v>
      </c>
      <c r="H19" s="52"/>
      <c r="I19" s="52"/>
      <c r="J19" s="52"/>
      <c r="K19" s="52"/>
      <c r="L19" s="52"/>
      <c r="M19" s="52"/>
      <c r="N19" s="52"/>
      <c r="O19" s="5"/>
      <c r="P19" s="5"/>
      <c r="Q19" s="5"/>
      <c r="R19" s="5"/>
      <c r="S19" s="5"/>
      <c r="T19" s="5"/>
      <c r="U19" s="5"/>
      <c r="V19" s="5"/>
      <c r="W19" s="5"/>
      <c r="X19" s="6">
        <f t="shared" si="1"/>
        <v>0</v>
      </c>
      <c r="Z19" s="30">
        <f t="shared" si="2"/>
        <v>0</v>
      </c>
    </row>
    <row r="20" spans="6:26" ht="60" customHeight="1" x14ac:dyDescent="0.2">
      <c r="F20" s="50">
        <f t="shared" ref="F20:F29" si="4">+F19+1</f>
        <v>20201</v>
      </c>
      <c r="G20" s="53" t="s">
        <v>19</v>
      </c>
      <c r="H20" s="52">
        <f>3200000-I20</f>
        <v>2700000</v>
      </c>
      <c r="I20" s="52">
        <v>500000</v>
      </c>
      <c r="J20" s="52"/>
      <c r="K20" s="52">
        <f>I20</f>
        <v>500000</v>
      </c>
      <c r="L20" s="52"/>
      <c r="M20" s="52"/>
      <c r="N20" s="52"/>
      <c r="O20" s="7">
        <f t="shared" ref="O20:O29" si="5">SUM(K20:N20)</f>
        <v>500000</v>
      </c>
      <c r="P20" s="5"/>
      <c r="Q20" s="5"/>
      <c r="R20" s="5"/>
      <c r="S20" s="5"/>
      <c r="T20" s="5"/>
      <c r="U20" s="5"/>
      <c r="V20" s="5"/>
      <c r="W20" s="5">
        <f t="shared" ref="W20:W29" si="6">V20+U20+T20+S20</f>
        <v>0</v>
      </c>
      <c r="X20" s="6">
        <f t="shared" si="1"/>
        <v>0</v>
      </c>
      <c r="Z20" s="30">
        <f t="shared" si="2"/>
        <v>0</v>
      </c>
    </row>
    <row r="21" spans="6:26" ht="60" customHeight="1" x14ac:dyDescent="0.2">
      <c r="F21" s="50">
        <f t="shared" si="4"/>
        <v>20202</v>
      </c>
      <c r="G21" s="53" t="s">
        <v>20</v>
      </c>
      <c r="H21" s="52">
        <v>200000</v>
      </c>
      <c r="I21" s="52"/>
      <c r="J21" s="52"/>
      <c r="K21" s="52"/>
      <c r="L21" s="52"/>
      <c r="M21" s="52"/>
      <c r="N21" s="52"/>
      <c r="O21" s="7">
        <f t="shared" si="5"/>
        <v>0</v>
      </c>
      <c r="P21" s="5"/>
      <c r="Q21" s="5"/>
      <c r="R21" s="5"/>
      <c r="S21" s="5"/>
      <c r="T21" s="5"/>
      <c r="U21" s="5"/>
      <c r="V21" s="5"/>
      <c r="W21" s="5"/>
      <c r="X21" s="6"/>
      <c r="Z21" s="30">
        <f t="shared" si="2"/>
        <v>0</v>
      </c>
    </row>
    <row r="22" spans="6:26" ht="60" customHeight="1" x14ac:dyDescent="0.2">
      <c r="F22" s="50">
        <f t="shared" si="4"/>
        <v>20203</v>
      </c>
      <c r="G22" s="53" t="s">
        <v>21</v>
      </c>
      <c r="H22" s="52">
        <v>500000</v>
      </c>
      <c r="I22" s="52"/>
      <c r="J22" s="52"/>
      <c r="K22" s="52"/>
      <c r="L22" s="52"/>
      <c r="M22" s="52"/>
      <c r="N22" s="52"/>
      <c r="O22" s="7">
        <f t="shared" si="5"/>
        <v>0</v>
      </c>
      <c r="P22" s="5"/>
      <c r="Q22" s="5"/>
      <c r="R22" s="5"/>
      <c r="S22" s="5"/>
      <c r="T22" s="5"/>
      <c r="U22" s="5"/>
      <c r="V22" s="5"/>
      <c r="W22" s="5"/>
      <c r="X22" s="6"/>
      <c r="Z22" s="30">
        <f t="shared" si="2"/>
        <v>0</v>
      </c>
    </row>
    <row r="23" spans="6:26" ht="60" customHeight="1" x14ac:dyDescent="0.2">
      <c r="F23" s="50">
        <f t="shared" si="4"/>
        <v>20204</v>
      </c>
      <c r="G23" s="53" t="s">
        <v>22</v>
      </c>
      <c r="H23" s="52">
        <f>1500000-I23</f>
        <v>1000000</v>
      </c>
      <c r="I23" s="52">
        <v>500000</v>
      </c>
      <c r="J23" s="52"/>
      <c r="K23" s="52">
        <f>I23</f>
        <v>500000</v>
      </c>
      <c r="L23" s="52"/>
      <c r="M23" s="52"/>
      <c r="N23" s="52"/>
      <c r="O23" s="7">
        <f t="shared" si="5"/>
        <v>500000</v>
      </c>
      <c r="P23" s="5"/>
      <c r="Q23" s="5"/>
      <c r="R23" s="5"/>
      <c r="S23" s="5"/>
      <c r="T23" s="5"/>
      <c r="U23" s="5"/>
      <c r="V23" s="5"/>
      <c r="W23" s="5">
        <f t="shared" si="6"/>
        <v>0</v>
      </c>
      <c r="X23" s="6">
        <f t="shared" si="1"/>
        <v>0</v>
      </c>
      <c r="Z23" s="30">
        <f t="shared" si="2"/>
        <v>0</v>
      </c>
    </row>
    <row r="24" spans="6:26" ht="60" customHeight="1" x14ac:dyDescent="0.2">
      <c r="F24" s="50">
        <f t="shared" si="4"/>
        <v>20205</v>
      </c>
      <c r="G24" s="53" t="s">
        <v>23</v>
      </c>
      <c r="H24" s="52">
        <f>500000-I24</f>
        <v>300000</v>
      </c>
      <c r="I24" s="52">
        <v>200000</v>
      </c>
      <c r="J24" s="52"/>
      <c r="K24" s="52">
        <f>I24</f>
        <v>200000</v>
      </c>
      <c r="L24" s="52"/>
      <c r="M24" s="52"/>
      <c r="N24" s="52"/>
      <c r="O24" s="7">
        <f t="shared" si="5"/>
        <v>200000</v>
      </c>
      <c r="P24" s="5"/>
      <c r="Q24" s="5"/>
      <c r="R24" s="5"/>
      <c r="S24" s="5"/>
      <c r="T24" s="5"/>
      <c r="U24" s="5"/>
      <c r="V24" s="5"/>
      <c r="W24" s="5">
        <f t="shared" si="6"/>
        <v>0</v>
      </c>
      <c r="X24" s="6">
        <f t="shared" si="1"/>
        <v>0</v>
      </c>
      <c r="Z24" s="30">
        <f t="shared" si="2"/>
        <v>0</v>
      </c>
    </row>
    <row r="25" spans="6:26" ht="60" customHeight="1" x14ac:dyDescent="0.2">
      <c r="F25" s="50">
        <f t="shared" si="4"/>
        <v>20206</v>
      </c>
      <c r="G25" s="53" t="s">
        <v>24</v>
      </c>
      <c r="H25" s="52">
        <v>500000</v>
      </c>
      <c r="I25" s="52"/>
      <c r="J25" s="52"/>
      <c r="K25" s="52"/>
      <c r="L25" s="52"/>
      <c r="M25" s="52"/>
      <c r="N25" s="52"/>
      <c r="O25" s="7">
        <f t="shared" si="5"/>
        <v>0</v>
      </c>
      <c r="P25" s="5"/>
      <c r="Q25" s="5"/>
      <c r="R25" s="5"/>
      <c r="S25" s="5"/>
      <c r="T25" s="5"/>
      <c r="U25" s="5"/>
      <c r="V25" s="5"/>
      <c r="W25" s="5">
        <f t="shared" si="6"/>
        <v>0</v>
      </c>
      <c r="X25" s="6">
        <f t="shared" si="1"/>
        <v>0</v>
      </c>
      <c r="Z25" s="30">
        <f t="shared" si="2"/>
        <v>0</v>
      </c>
    </row>
    <row r="26" spans="6:26" ht="60" customHeight="1" x14ac:dyDescent="0.2">
      <c r="F26" s="50">
        <f t="shared" si="4"/>
        <v>20207</v>
      </c>
      <c r="G26" s="53" t="s">
        <v>458</v>
      </c>
      <c r="H26" s="52">
        <v>100000</v>
      </c>
      <c r="I26" s="52"/>
      <c r="J26" s="52"/>
      <c r="K26" s="52"/>
      <c r="L26" s="52"/>
      <c r="M26" s="52"/>
      <c r="N26" s="52"/>
      <c r="O26" s="7">
        <f t="shared" si="5"/>
        <v>0</v>
      </c>
      <c r="P26" s="5"/>
      <c r="Q26" s="5"/>
      <c r="R26" s="5"/>
      <c r="S26" s="5"/>
      <c r="T26" s="5"/>
      <c r="U26" s="5"/>
      <c r="V26" s="5"/>
      <c r="W26" s="5"/>
      <c r="X26" s="6"/>
      <c r="Z26" s="30">
        <f t="shared" si="2"/>
        <v>0</v>
      </c>
    </row>
    <row r="27" spans="6:26" ht="60" customHeight="1" x14ac:dyDescent="0.2">
      <c r="F27" s="50">
        <f t="shared" si="4"/>
        <v>20208</v>
      </c>
      <c r="G27" s="53" t="s">
        <v>25</v>
      </c>
      <c r="H27" s="52">
        <v>1000000</v>
      </c>
      <c r="I27" s="52"/>
      <c r="J27" s="52"/>
      <c r="K27" s="52"/>
      <c r="L27" s="52"/>
      <c r="M27" s="52"/>
      <c r="N27" s="52"/>
      <c r="O27" s="7">
        <f t="shared" si="5"/>
        <v>0</v>
      </c>
      <c r="P27" s="5"/>
      <c r="Q27" s="5"/>
      <c r="R27" s="5"/>
      <c r="S27" s="5"/>
      <c r="T27" s="5"/>
      <c r="U27" s="5"/>
      <c r="V27" s="5"/>
      <c r="W27" s="5"/>
      <c r="X27" s="6"/>
      <c r="Z27" s="30">
        <f t="shared" si="2"/>
        <v>0</v>
      </c>
    </row>
    <row r="28" spans="6:26" ht="60" customHeight="1" x14ac:dyDescent="0.2">
      <c r="F28" s="50">
        <f t="shared" si="4"/>
        <v>20209</v>
      </c>
      <c r="G28" s="53" t="s">
        <v>459</v>
      </c>
      <c r="H28" s="52">
        <v>2000000</v>
      </c>
      <c r="I28" s="52"/>
      <c r="J28" s="52"/>
      <c r="K28" s="52"/>
      <c r="L28" s="52"/>
      <c r="M28" s="52"/>
      <c r="N28" s="52"/>
      <c r="O28" s="7">
        <f t="shared" si="5"/>
        <v>0</v>
      </c>
      <c r="P28" s="5"/>
      <c r="Q28" s="5"/>
      <c r="R28" s="5"/>
      <c r="S28" s="5"/>
      <c r="T28" s="5"/>
      <c r="U28" s="5"/>
      <c r="V28" s="5"/>
      <c r="W28" s="5"/>
      <c r="X28" s="6"/>
      <c r="Z28" s="30">
        <f t="shared" si="2"/>
        <v>0</v>
      </c>
    </row>
    <row r="29" spans="6:26" ht="60" customHeight="1" x14ac:dyDescent="0.2">
      <c r="F29" s="50">
        <f t="shared" si="4"/>
        <v>20210</v>
      </c>
      <c r="G29" s="53" t="s">
        <v>26</v>
      </c>
      <c r="H29" s="52"/>
      <c r="I29" s="52">
        <v>50000</v>
      </c>
      <c r="J29" s="52"/>
      <c r="K29" s="52"/>
      <c r="L29" s="52"/>
      <c r="M29" s="52">
        <f>I29</f>
        <v>50000</v>
      </c>
      <c r="N29" s="52"/>
      <c r="O29" s="7">
        <f t="shared" si="5"/>
        <v>50000</v>
      </c>
      <c r="P29" s="5"/>
      <c r="Q29" s="5"/>
      <c r="R29" s="5"/>
      <c r="S29" s="5"/>
      <c r="T29" s="5"/>
      <c r="U29" s="5"/>
      <c r="V29" s="5"/>
      <c r="W29" s="5">
        <f t="shared" si="6"/>
        <v>0</v>
      </c>
      <c r="X29" s="6">
        <f t="shared" si="1"/>
        <v>0</v>
      </c>
      <c r="Z29" s="30">
        <f t="shared" si="2"/>
        <v>0</v>
      </c>
    </row>
    <row r="30" spans="6:26" ht="60" customHeight="1" x14ac:dyDescent="0.2">
      <c r="F30" s="58"/>
      <c r="G30" s="56" t="s">
        <v>27</v>
      </c>
      <c r="H30" s="57">
        <f t="shared" ref="H30:W30" si="7">SUM(H20:H29)</f>
        <v>8300000</v>
      </c>
      <c r="I30" s="57">
        <f t="shared" si="7"/>
        <v>1250000</v>
      </c>
      <c r="J30" s="57">
        <f t="shared" si="7"/>
        <v>0</v>
      </c>
      <c r="K30" s="57">
        <f t="shared" si="7"/>
        <v>1200000</v>
      </c>
      <c r="L30" s="57">
        <f t="shared" si="7"/>
        <v>0</v>
      </c>
      <c r="M30" s="57">
        <f t="shared" si="7"/>
        <v>50000</v>
      </c>
      <c r="N30" s="57">
        <f t="shared" si="7"/>
        <v>0</v>
      </c>
      <c r="O30" s="6">
        <f t="shared" si="7"/>
        <v>1250000</v>
      </c>
      <c r="P30" s="6">
        <f t="shared" si="7"/>
        <v>0</v>
      </c>
      <c r="Q30" s="6">
        <f t="shared" si="7"/>
        <v>0</v>
      </c>
      <c r="R30" s="6">
        <f t="shared" si="7"/>
        <v>0</v>
      </c>
      <c r="S30" s="6">
        <f t="shared" si="7"/>
        <v>0</v>
      </c>
      <c r="T30" s="6">
        <f t="shared" si="7"/>
        <v>0</v>
      </c>
      <c r="U30" s="6">
        <f t="shared" si="7"/>
        <v>0</v>
      </c>
      <c r="V30" s="6">
        <f t="shared" si="7"/>
        <v>0</v>
      </c>
      <c r="W30" s="6">
        <f t="shared" si="7"/>
        <v>0</v>
      </c>
      <c r="X30" s="6">
        <f t="shared" si="1"/>
        <v>0</v>
      </c>
      <c r="Z30" s="30">
        <f t="shared" si="2"/>
        <v>0</v>
      </c>
    </row>
    <row r="31" spans="6:26" ht="60" customHeight="1" x14ac:dyDescent="0.2">
      <c r="F31" s="50">
        <v>20400</v>
      </c>
      <c r="G31" s="51" t="s">
        <v>28</v>
      </c>
      <c r="H31" s="52"/>
      <c r="I31" s="52"/>
      <c r="J31" s="52"/>
      <c r="K31" s="52"/>
      <c r="L31" s="52"/>
      <c r="M31" s="52"/>
      <c r="N31" s="52"/>
      <c r="O31" s="5"/>
      <c r="P31" s="5"/>
      <c r="Q31" s="5"/>
      <c r="R31" s="5"/>
      <c r="S31" s="5"/>
      <c r="T31" s="5"/>
      <c r="U31" s="5"/>
      <c r="V31" s="5"/>
      <c r="W31" s="5"/>
      <c r="X31" s="6">
        <f t="shared" si="1"/>
        <v>0</v>
      </c>
      <c r="Z31" s="30">
        <f t="shared" si="2"/>
        <v>0</v>
      </c>
    </row>
    <row r="32" spans="6:26" ht="60" customHeight="1" x14ac:dyDescent="0.2">
      <c r="F32" s="50">
        <f>+F31+1</f>
        <v>20401</v>
      </c>
      <c r="G32" s="53" t="s">
        <v>29</v>
      </c>
      <c r="H32" s="52"/>
      <c r="I32" s="52">
        <v>8000000</v>
      </c>
      <c r="J32" s="52"/>
      <c r="K32" s="52"/>
      <c r="L32" s="52">
        <f>I32-K32</f>
        <v>8000000</v>
      </c>
      <c r="M32" s="52"/>
      <c r="N32" s="52"/>
      <c r="O32" s="7">
        <f t="shared" ref="O32:O49" si="8">SUM(K32:N32)</f>
        <v>8000000</v>
      </c>
      <c r="P32" s="5"/>
      <c r="Q32" s="5"/>
      <c r="R32" s="5"/>
      <c r="S32" s="5"/>
      <c r="T32" s="5"/>
      <c r="U32" s="5"/>
      <c r="V32" s="5"/>
      <c r="W32" s="5">
        <f t="shared" ref="W32:W47" si="9">V32+U32+T32+S32</f>
        <v>0</v>
      </c>
      <c r="X32" s="6">
        <f t="shared" ref="X32:X64" si="10">Q32-R32-W32</f>
        <v>0</v>
      </c>
      <c r="Z32" s="30">
        <f t="shared" si="2"/>
        <v>0</v>
      </c>
    </row>
    <row r="33" spans="6:26" ht="60" customHeight="1" x14ac:dyDescent="0.2">
      <c r="F33" s="50">
        <f t="shared" ref="F33:F49" si="11">+F32+1</f>
        <v>20402</v>
      </c>
      <c r="G33" s="53" t="s">
        <v>30</v>
      </c>
      <c r="H33" s="52">
        <f>800000-I33</f>
        <v>600000</v>
      </c>
      <c r="I33" s="52">
        <v>200000</v>
      </c>
      <c r="J33" s="52"/>
      <c r="K33" s="52">
        <f>I33</f>
        <v>200000</v>
      </c>
      <c r="L33" s="52"/>
      <c r="M33" s="52"/>
      <c r="N33" s="52"/>
      <c r="O33" s="7">
        <f t="shared" si="8"/>
        <v>200000</v>
      </c>
      <c r="P33" s="5"/>
      <c r="Q33" s="5"/>
      <c r="R33" s="5"/>
      <c r="S33" s="5"/>
      <c r="T33" s="5"/>
      <c r="U33" s="5"/>
      <c r="V33" s="5"/>
      <c r="W33" s="5">
        <f t="shared" si="9"/>
        <v>0</v>
      </c>
      <c r="X33" s="6">
        <f t="shared" si="10"/>
        <v>0</v>
      </c>
      <c r="Z33" s="30">
        <f t="shared" si="2"/>
        <v>0</v>
      </c>
    </row>
    <row r="34" spans="6:26" ht="60" customHeight="1" x14ac:dyDescent="0.2">
      <c r="F34" s="50">
        <f t="shared" si="11"/>
        <v>20403</v>
      </c>
      <c r="G34" s="53" t="s">
        <v>31</v>
      </c>
      <c r="H34" s="52"/>
      <c r="I34" s="52">
        <v>1000000</v>
      </c>
      <c r="J34" s="52"/>
      <c r="K34" s="52"/>
      <c r="L34" s="52"/>
      <c r="M34" s="52">
        <f>I34</f>
        <v>1000000</v>
      </c>
      <c r="N34" s="52"/>
      <c r="O34" s="7">
        <f t="shared" si="8"/>
        <v>1000000</v>
      </c>
      <c r="P34" s="5"/>
      <c r="Q34" s="5"/>
      <c r="R34" s="5"/>
      <c r="S34" s="5"/>
      <c r="T34" s="5"/>
      <c r="U34" s="5"/>
      <c r="V34" s="5"/>
      <c r="W34" s="5">
        <f t="shared" si="9"/>
        <v>0</v>
      </c>
      <c r="X34" s="6">
        <f t="shared" si="10"/>
        <v>0</v>
      </c>
      <c r="Z34" s="30">
        <f t="shared" si="2"/>
        <v>0</v>
      </c>
    </row>
    <row r="35" spans="6:26" ht="60" customHeight="1" x14ac:dyDescent="0.2">
      <c r="F35" s="50">
        <f t="shared" si="11"/>
        <v>20404</v>
      </c>
      <c r="G35" s="53" t="s">
        <v>32</v>
      </c>
      <c r="H35" s="52"/>
      <c r="I35" s="52">
        <v>2000000</v>
      </c>
      <c r="J35" s="52"/>
      <c r="K35" s="52"/>
      <c r="L35" s="52">
        <f>I35</f>
        <v>2000000</v>
      </c>
      <c r="M35" s="52"/>
      <c r="N35" s="52"/>
      <c r="O35" s="7">
        <f t="shared" si="8"/>
        <v>2000000</v>
      </c>
      <c r="P35" s="5"/>
      <c r="Q35" s="5"/>
      <c r="R35" s="5"/>
      <c r="S35" s="5"/>
      <c r="T35" s="5"/>
      <c r="U35" s="5"/>
      <c r="V35" s="5"/>
      <c r="W35" s="5">
        <f t="shared" si="9"/>
        <v>0</v>
      </c>
      <c r="X35" s="6">
        <f t="shared" si="10"/>
        <v>0</v>
      </c>
      <c r="Z35" s="30">
        <f t="shared" si="2"/>
        <v>0</v>
      </c>
    </row>
    <row r="36" spans="6:26" ht="60" customHeight="1" x14ac:dyDescent="0.2">
      <c r="F36" s="50">
        <f t="shared" si="11"/>
        <v>20405</v>
      </c>
      <c r="G36" s="53" t="s">
        <v>33</v>
      </c>
      <c r="H36" s="52">
        <v>15000000</v>
      </c>
      <c r="I36" s="52"/>
      <c r="J36" s="52"/>
      <c r="K36" s="52"/>
      <c r="L36" s="52"/>
      <c r="M36" s="52"/>
      <c r="N36" s="52"/>
      <c r="O36" s="7">
        <f t="shared" si="8"/>
        <v>0</v>
      </c>
      <c r="P36" s="5"/>
      <c r="Q36" s="5"/>
      <c r="R36" s="5"/>
      <c r="S36" s="5"/>
      <c r="T36" s="5"/>
      <c r="U36" s="5"/>
      <c r="V36" s="5"/>
      <c r="W36" s="5"/>
      <c r="X36" s="6"/>
      <c r="Z36" s="30">
        <f t="shared" si="2"/>
        <v>0</v>
      </c>
    </row>
    <row r="37" spans="6:26" ht="60" customHeight="1" x14ac:dyDescent="0.2">
      <c r="F37" s="50">
        <f t="shared" si="11"/>
        <v>20406</v>
      </c>
      <c r="G37" s="53" t="s">
        <v>460</v>
      </c>
      <c r="H37" s="52">
        <v>25000000</v>
      </c>
      <c r="I37" s="52"/>
      <c r="J37" s="52"/>
      <c r="K37" s="52"/>
      <c r="L37" s="52"/>
      <c r="M37" s="52"/>
      <c r="N37" s="52"/>
      <c r="O37" s="7">
        <f t="shared" si="8"/>
        <v>0</v>
      </c>
      <c r="P37" s="5"/>
      <c r="Q37" s="5"/>
      <c r="R37" s="5"/>
      <c r="S37" s="5"/>
      <c r="T37" s="5"/>
      <c r="U37" s="5"/>
      <c r="V37" s="5"/>
      <c r="W37" s="5"/>
      <c r="X37" s="6"/>
      <c r="Z37" s="30">
        <f t="shared" si="2"/>
        <v>0</v>
      </c>
    </row>
    <row r="38" spans="6:26" ht="60" customHeight="1" x14ac:dyDescent="0.2">
      <c r="F38" s="50">
        <f t="shared" si="11"/>
        <v>20407</v>
      </c>
      <c r="G38" s="53" t="s">
        <v>34</v>
      </c>
      <c r="H38" s="52"/>
      <c r="I38" s="52">
        <v>8500000</v>
      </c>
      <c r="J38" s="52"/>
      <c r="K38" s="52"/>
      <c r="L38" s="52">
        <f>I38-K38</f>
        <v>8500000</v>
      </c>
      <c r="M38" s="52"/>
      <c r="N38" s="52"/>
      <c r="O38" s="7">
        <f t="shared" si="8"/>
        <v>8500000</v>
      </c>
      <c r="P38" s="5"/>
      <c r="Q38" s="5"/>
      <c r="R38" s="5"/>
      <c r="S38" s="5"/>
      <c r="T38" s="5"/>
      <c r="U38" s="5"/>
      <c r="V38" s="5"/>
      <c r="W38" s="5">
        <f t="shared" si="9"/>
        <v>0</v>
      </c>
      <c r="X38" s="6">
        <f t="shared" si="10"/>
        <v>0</v>
      </c>
      <c r="Z38" s="30">
        <f t="shared" si="2"/>
        <v>0</v>
      </c>
    </row>
    <row r="39" spans="6:26" ht="60" customHeight="1" x14ac:dyDescent="0.2">
      <c r="F39" s="50">
        <f t="shared" si="11"/>
        <v>20408</v>
      </c>
      <c r="G39" s="53" t="s">
        <v>35</v>
      </c>
      <c r="H39" s="52"/>
      <c r="I39" s="52">
        <v>200000</v>
      </c>
      <c r="J39" s="52"/>
      <c r="K39" s="52">
        <f>I39</f>
        <v>200000</v>
      </c>
      <c r="L39" s="52"/>
      <c r="M39" s="52"/>
      <c r="N39" s="52"/>
      <c r="O39" s="7">
        <f t="shared" si="8"/>
        <v>200000</v>
      </c>
      <c r="P39" s="5"/>
      <c r="Q39" s="5"/>
      <c r="R39" s="5"/>
      <c r="S39" s="5"/>
      <c r="T39" s="5"/>
      <c r="U39" s="5"/>
      <c r="V39" s="5"/>
      <c r="W39" s="5">
        <f t="shared" si="9"/>
        <v>0</v>
      </c>
      <c r="X39" s="6">
        <f t="shared" si="10"/>
        <v>0</v>
      </c>
      <c r="Z39" s="30">
        <f t="shared" si="2"/>
        <v>0</v>
      </c>
    </row>
    <row r="40" spans="6:26" ht="60" customHeight="1" x14ac:dyDescent="0.2">
      <c r="F40" s="50">
        <f t="shared" si="11"/>
        <v>20409</v>
      </c>
      <c r="G40" s="53" t="s">
        <v>473</v>
      </c>
      <c r="H40" s="52">
        <f>11000000-I40</f>
        <v>1000000</v>
      </c>
      <c r="I40" s="52">
        <v>10000000</v>
      </c>
      <c r="J40" s="52"/>
      <c r="K40" s="52">
        <f>I40</f>
        <v>10000000</v>
      </c>
      <c r="L40" s="52"/>
      <c r="M40" s="52"/>
      <c r="N40" s="52"/>
      <c r="O40" s="7">
        <f t="shared" si="8"/>
        <v>10000000</v>
      </c>
      <c r="P40" s="5"/>
      <c r="Q40" s="5"/>
      <c r="R40" s="5"/>
      <c r="S40" s="5"/>
      <c r="T40" s="5"/>
      <c r="U40" s="5"/>
      <c r="V40" s="5"/>
      <c r="W40" s="5">
        <f t="shared" si="9"/>
        <v>0</v>
      </c>
      <c r="X40" s="6">
        <f t="shared" si="10"/>
        <v>0</v>
      </c>
      <c r="Z40" s="30">
        <f t="shared" si="2"/>
        <v>0</v>
      </c>
    </row>
    <row r="41" spans="6:26" ht="60" customHeight="1" x14ac:dyDescent="0.2">
      <c r="F41" s="50">
        <f t="shared" si="11"/>
        <v>20410</v>
      </c>
      <c r="G41" s="53" t="s">
        <v>405</v>
      </c>
      <c r="H41" s="52">
        <f>6000000-I41</f>
        <v>2000000</v>
      </c>
      <c r="I41" s="52">
        <v>4000000</v>
      </c>
      <c r="J41" s="52"/>
      <c r="K41" s="52"/>
      <c r="L41" s="52">
        <f>I41-K41</f>
        <v>4000000</v>
      </c>
      <c r="M41" s="52"/>
      <c r="N41" s="52"/>
      <c r="O41" s="7">
        <f t="shared" si="8"/>
        <v>4000000</v>
      </c>
      <c r="P41" s="5"/>
      <c r="Q41" s="5"/>
      <c r="R41" s="5"/>
      <c r="S41" s="5"/>
      <c r="T41" s="5"/>
      <c r="U41" s="5"/>
      <c r="V41" s="5"/>
      <c r="W41" s="5">
        <f t="shared" si="9"/>
        <v>0</v>
      </c>
      <c r="X41" s="6">
        <f t="shared" si="10"/>
        <v>0</v>
      </c>
      <c r="Z41" s="30">
        <f t="shared" si="2"/>
        <v>0</v>
      </c>
    </row>
    <row r="42" spans="6:26" ht="60" customHeight="1" x14ac:dyDescent="0.2">
      <c r="F42" s="50">
        <f t="shared" si="11"/>
        <v>20411</v>
      </c>
      <c r="G42" s="53" t="s">
        <v>36</v>
      </c>
      <c r="H42" s="52">
        <f>7000000-I42</f>
        <v>5000000</v>
      </c>
      <c r="I42" s="52">
        <v>2000000</v>
      </c>
      <c r="J42" s="52">
        <v>1000000</v>
      </c>
      <c r="K42" s="52"/>
      <c r="L42" s="52">
        <f>I42-J42</f>
        <v>1000000</v>
      </c>
      <c r="M42" s="52"/>
      <c r="N42" s="52"/>
      <c r="O42" s="7">
        <f t="shared" si="8"/>
        <v>1000000</v>
      </c>
      <c r="P42" s="5"/>
      <c r="Q42" s="5"/>
      <c r="R42" s="5"/>
      <c r="S42" s="5"/>
      <c r="T42" s="5"/>
      <c r="U42" s="5"/>
      <c r="V42" s="5"/>
      <c r="W42" s="5">
        <f t="shared" si="9"/>
        <v>0</v>
      </c>
      <c r="X42" s="6">
        <f t="shared" si="10"/>
        <v>0</v>
      </c>
      <c r="Z42" s="30">
        <f t="shared" si="2"/>
        <v>0</v>
      </c>
    </row>
    <row r="43" spans="6:26" ht="60" customHeight="1" x14ac:dyDescent="0.2">
      <c r="F43" s="50">
        <f t="shared" si="11"/>
        <v>20412</v>
      </c>
      <c r="G43" s="53" t="s">
        <v>37</v>
      </c>
      <c r="H43" s="52">
        <v>2000000</v>
      </c>
      <c r="I43" s="52"/>
      <c r="J43" s="52"/>
      <c r="K43" s="52"/>
      <c r="L43" s="52"/>
      <c r="M43" s="52"/>
      <c r="N43" s="52"/>
      <c r="O43" s="7">
        <f t="shared" si="8"/>
        <v>0</v>
      </c>
      <c r="P43" s="5"/>
      <c r="Q43" s="5"/>
      <c r="R43" s="5"/>
      <c r="S43" s="5"/>
      <c r="T43" s="5"/>
      <c r="U43" s="5"/>
      <c r="V43" s="5"/>
      <c r="W43" s="5"/>
      <c r="X43" s="6"/>
      <c r="Z43" s="30">
        <f t="shared" si="2"/>
        <v>0</v>
      </c>
    </row>
    <row r="44" spans="6:26" ht="60" customHeight="1" x14ac:dyDescent="0.2">
      <c r="F44" s="50">
        <f t="shared" si="11"/>
        <v>20413</v>
      </c>
      <c r="G44" s="53" t="s">
        <v>461</v>
      </c>
      <c r="H44" s="52">
        <v>7000000</v>
      </c>
      <c r="I44" s="52"/>
      <c r="J44" s="52"/>
      <c r="K44" s="52"/>
      <c r="L44" s="52"/>
      <c r="M44" s="52"/>
      <c r="N44" s="52"/>
      <c r="O44" s="7">
        <f t="shared" si="8"/>
        <v>0</v>
      </c>
      <c r="P44" s="5"/>
      <c r="Q44" s="5"/>
      <c r="R44" s="5"/>
      <c r="S44" s="5"/>
      <c r="T44" s="5"/>
      <c r="U44" s="5"/>
      <c r="V44" s="5"/>
      <c r="W44" s="5"/>
      <c r="X44" s="6"/>
      <c r="Z44" s="30">
        <f t="shared" si="2"/>
        <v>0</v>
      </c>
    </row>
    <row r="45" spans="6:26" ht="60" customHeight="1" x14ac:dyDescent="0.2">
      <c r="F45" s="50">
        <f t="shared" si="11"/>
        <v>20414</v>
      </c>
      <c r="G45" s="53" t="s">
        <v>338</v>
      </c>
      <c r="H45" s="52">
        <v>2000000</v>
      </c>
      <c r="I45" s="52"/>
      <c r="J45" s="52"/>
      <c r="K45" s="52"/>
      <c r="L45" s="52"/>
      <c r="M45" s="52"/>
      <c r="N45" s="52"/>
      <c r="O45" s="7">
        <f t="shared" si="8"/>
        <v>0</v>
      </c>
      <c r="P45" s="5"/>
      <c r="Q45" s="5"/>
      <c r="R45" s="5"/>
      <c r="S45" s="5"/>
      <c r="T45" s="5"/>
      <c r="U45" s="5"/>
      <c r="V45" s="5"/>
      <c r="W45" s="5"/>
      <c r="X45" s="6"/>
      <c r="Z45" s="30">
        <f t="shared" si="2"/>
        <v>0</v>
      </c>
    </row>
    <row r="46" spans="6:26" ht="60" customHeight="1" x14ac:dyDescent="0.2">
      <c r="F46" s="50">
        <f t="shared" si="11"/>
        <v>20415</v>
      </c>
      <c r="G46" s="53" t="s">
        <v>449</v>
      </c>
      <c r="H46" s="52">
        <f>8000000-I46</f>
        <v>3000000</v>
      </c>
      <c r="I46" s="52">
        <v>5000000</v>
      </c>
      <c r="J46" s="52"/>
      <c r="K46" s="52"/>
      <c r="L46" s="52">
        <f>I46-K46</f>
        <v>5000000</v>
      </c>
      <c r="M46" s="52"/>
      <c r="N46" s="52"/>
      <c r="O46" s="7">
        <f t="shared" si="8"/>
        <v>5000000</v>
      </c>
      <c r="P46" s="5"/>
      <c r="Q46" s="5"/>
      <c r="R46" s="5"/>
      <c r="S46" s="5"/>
      <c r="T46" s="5"/>
      <c r="U46" s="5"/>
      <c r="V46" s="5"/>
      <c r="W46" s="5">
        <f t="shared" si="9"/>
        <v>0</v>
      </c>
      <c r="X46" s="6"/>
      <c r="Z46" s="30">
        <f t="shared" si="2"/>
        <v>0</v>
      </c>
    </row>
    <row r="47" spans="6:26" ht="60" customHeight="1" x14ac:dyDescent="0.2">
      <c r="F47" s="50">
        <f t="shared" si="11"/>
        <v>20416</v>
      </c>
      <c r="G47" s="53" t="s">
        <v>38</v>
      </c>
      <c r="H47" s="52"/>
      <c r="I47" s="52">
        <v>8000000</v>
      </c>
      <c r="J47" s="52">
        <f>I47</f>
        <v>8000000</v>
      </c>
      <c r="K47" s="52"/>
      <c r="L47" s="52"/>
      <c r="M47" s="52"/>
      <c r="N47" s="52"/>
      <c r="O47" s="7">
        <f t="shared" si="8"/>
        <v>0</v>
      </c>
      <c r="P47" s="5"/>
      <c r="Q47" s="5"/>
      <c r="R47" s="5"/>
      <c r="S47" s="5"/>
      <c r="T47" s="5"/>
      <c r="U47" s="5"/>
      <c r="V47" s="5"/>
      <c r="W47" s="5">
        <f t="shared" si="9"/>
        <v>0</v>
      </c>
      <c r="X47" s="6">
        <f t="shared" si="10"/>
        <v>0</v>
      </c>
      <c r="Z47" s="30">
        <f t="shared" si="2"/>
        <v>0</v>
      </c>
    </row>
    <row r="48" spans="6:26" ht="60" customHeight="1" x14ac:dyDescent="0.2">
      <c r="F48" s="50">
        <f t="shared" si="11"/>
        <v>20417</v>
      </c>
      <c r="G48" s="53" t="s">
        <v>406</v>
      </c>
      <c r="H48" s="52">
        <v>2000000</v>
      </c>
      <c r="I48" s="52"/>
      <c r="J48" s="52"/>
      <c r="K48" s="52"/>
      <c r="L48" s="52"/>
      <c r="M48" s="52"/>
      <c r="N48" s="52"/>
      <c r="O48" s="7">
        <f t="shared" si="8"/>
        <v>0</v>
      </c>
      <c r="P48" s="5"/>
      <c r="Q48" s="5"/>
      <c r="R48" s="5"/>
      <c r="S48" s="5"/>
      <c r="T48" s="5"/>
      <c r="U48" s="5"/>
      <c r="V48" s="5"/>
      <c r="W48" s="5"/>
      <c r="X48" s="6"/>
      <c r="Z48" s="30">
        <f t="shared" si="2"/>
        <v>0</v>
      </c>
    </row>
    <row r="49" spans="6:26" ht="60" customHeight="1" x14ac:dyDescent="0.2">
      <c r="F49" s="50">
        <f t="shared" si="11"/>
        <v>20418</v>
      </c>
      <c r="G49" s="53" t="s">
        <v>443</v>
      </c>
      <c r="H49" s="52"/>
      <c r="I49" s="52">
        <v>4500000</v>
      </c>
      <c r="J49" s="52">
        <f>I49</f>
        <v>4500000</v>
      </c>
      <c r="K49" s="52"/>
      <c r="L49" s="52"/>
      <c r="M49" s="52"/>
      <c r="N49" s="52"/>
      <c r="O49" s="7">
        <f t="shared" si="8"/>
        <v>0</v>
      </c>
      <c r="P49" s="5"/>
      <c r="Q49" s="5"/>
      <c r="R49" s="5"/>
      <c r="S49" s="5"/>
      <c r="T49" s="5"/>
      <c r="U49" s="5"/>
      <c r="V49" s="5"/>
      <c r="W49" s="5"/>
      <c r="X49" s="6"/>
      <c r="Z49" s="30">
        <f t="shared" si="2"/>
        <v>0</v>
      </c>
    </row>
    <row r="50" spans="6:26" ht="60" customHeight="1" x14ac:dyDescent="0.2">
      <c r="F50" s="58"/>
      <c r="G50" s="56" t="s">
        <v>39</v>
      </c>
      <c r="H50" s="57">
        <f t="shared" ref="H50:W50" si="12">SUM(H32:H49)</f>
        <v>64600000</v>
      </c>
      <c r="I50" s="57">
        <f t="shared" si="12"/>
        <v>53400000</v>
      </c>
      <c r="J50" s="57">
        <f t="shared" si="12"/>
        <v>13500000</v>
      </c>
      <c r="K50" s="57">
        <f t="shared" si="12"/>
        <v>10400000</v>
      </c>
      <c r="L50" s="57">
        <f t="shared" si="12"/>
        <v>28500000</v>
      </c>
      <c r="M50" s="57">
        <f t="shared" si="12"/>
        <v>1000000</v>
      </c>
      <c r="N50" s="57">
        <f t="shared" si="12"/>
        <v>0</v>
      </c>
      <c r="O50" s="6">
        <f t="shared" si="12"/>
        <v>39900000</v>
      </c>
      <c r="P50" s="6">
        <f t="shared" si="12"/>
        <v>0</v>
      </c>
      <c r="Q50" s="6">
        <f t="shared" si="12"/>
        <v>0</v>
      </c>
      <c r="R50" s="6">
        <f t="shared" si="12"/>
        <v>0</v>
      </c>
      <c r="S50" s="6">
        <f t="shared" si="12"/>
        <v>0</v>
      </c>
      <c r="T50" s="6">
        <f t="shared" si="12"/>
        <v>0</v>
      </c>
      <c r="U50" s="6">
        <f t="shared" si="12"/>
        <v>0</v>
      </c>
      <c r="V50" s="6">
        <f t="shared" si="12"/>
        <v>0</v>
      </c>
      <c r="W50" s="6">
        <f t="shared" si="12"/>
        <v>0</v>
      </c>
      <c r="X50" s="6">
        <f t="shared" si="10"/>
        <v>0</v>
      </c>
      <c r="Z50" s="30">
        <f t="shared" si="2"/>
        <v>0</v>
      </c>
    </row>
    <row r="51" spans="6:26" ht="60" customHeight="1" x14ac:dyDescent="0.2">
      <c r="F51" s="50">
        <v>20500</v>
      </c>
      <c r="G51" s="51" t="s">
        <v>40</v>
      </c>
      <c r="H51" s="52"/>
      <c r="I51" s="52"/>
      <c r="J51" s="52"/>
      <c r="K51" s="52"/>
      <c r="L51" s="52"/>
      <c r="M51" s="52"/>
      <c r="N51" s="52"/>
      <c r="O51" s="5"/>
      <c r="P51" s="5"/>
      <c r="Q51" s="5"/>
      <c r="R51" s="5"/>
      <c r="S51" s="5"/>
      <c r="T51" s="5"/>
      <c r="U51" s="5"/>
      <c r="V51" s="5"/>
      <c r="W51" s="5"/>
      <c r="X51" s="6">
        <f t="shared" si="10"/>
        <v>0</v>
      </c>
      <c r="Z51" s="30">
        <f t="shared" si="2"/>
        <v>0</v>
      </c>
    </row>
    <row r="52" spans="6:26" ht="60" customHeight="1" x14ac:dyDescent="0.2">
      <c r="F52" s="50">
        <f>+F51+1</f>
        <v>20501</v>
      </c>
      <c r="G52" s="53" t="s">
        <v>41</v>
      </c>
      <c r="H52" s="52"/>
      <c r="I52" s="52">
        <v>500000</v>
      </c>
      <c r="J52" s="52">
        <f>I52*0.8</f>
        <v>400000</v>
      </c>
      <c r="K52" s="52"/>
      <c r="L52" s="52"/>
      <c r="M52" s="52">
        <f>I52-J52</f>
        <v>100000</v>
      </c>
      <c r="N52" s="52"/>
      <c r="O52" s="7">
        <f>SUM(K52:N52)</f>
        <v>100000</v>
      </c>
      <c r="P52" s="5"/>
      <c r="Q52" s="5"/>
      <c r="R52" s="5"/>
      <c r="S52" s="5"/>
      <c r="T52" s="5"/>
      <c r="U52" s="5"/>
      <c r="V52" s="5"/>
      <c r="W52" s="5">
        <f>V52+U52+T52+S52</f>
        <v>0</v>
      </c>
      <c r="X52" s="6">
        <f t="shared" si="10"/>
        <v>0</v>
      </c>
      <c r="Z52" s="30">
        <f t="shared" si="2"/>
        <v>0</v>
      </c>
    </row>
    <row r="53" spans="6:26" ht="60" customHeight="1" x14ac:dyDescent="0.2">
      <c r="F53" s="50">
        <f>+F52+1</f>
        <v>20502</v>
      </c>
      <c r="G53" s="53" t="s">
        <v>356</v>
      </c>
      <c r="H53" s="52"/>
      <c r="I53" s="52">
        <v>1500000</v>
      </c>
      <c r="J53" s="52">
        <f>I53*0.7</f>
        <v>1050000</v>
      </c>
      <c r="K53" s="52">
        <f>I53-J53</f>
        <v>450000</v>
      </c>
      <c r="L53" s="52"/>
      <c r="M53" s="52"/>
      <c r="N53" s="52"/>
      <c r="O53" s="7">
        <f>SUM(K53:N53)</f>
        <v>450000</v>
      </c>
      <c r="P53" s="5"/>
      <c r="Q53" s="5"/>
      <c r="R53" s="5"/>
      <c r="S53" s="5"/>
      <c r="T53" s="5"/>
      <c r="U53" s="5"/>
      <c r="V53" s="5"/>
      <c r="W53" s="5">
        <f>V53+U53+T53+S53</f>
        <v>0</v>
      </c>
      <c r="X53" s="6"/>
      <c r="Z53" s="30">
        <f t="shared" si="2"/>
        <v>0</v>
      </c>
    </row>
    <row r="54" spans="6:26" ht="60" customHeight="1" x14ac:dyDescent="0.2">
      <c r="F54" s="58"/>
      <c r="G54" s="56" t="s">
        <v>42</v>
      </c>
      <c r="H54" s="57">
        <f t="shared" ref="H54:W54" si="13">SUM(H52:H53)</f>
        <v>0</v>
      </c>
      <c r="I54" s="57">
        <f t="shared" si="13"/>
        <v>2000000</v>
      </c>
      <c r="J54" s="57">
        <f t="shared" si="13"/>
        <v>1450000</v>
      </c>
      <c r="K54" s="57">
        <f t="shared" si="13"/>
        <v>450000</v>
      </c>
      <c r="L54" s="57">
        <f t="shared" si="13"/>
        <v>0</v>
      </c>
      <c r="M54" s="57">
        <f t="shared" si="13"/>
        <v>100000</v>
      </c>
      <c r="N54" s="57">
        <f t="shared" si="13"/>
        <v>0</v>
      </c>
      <c r="O54" s="6">
        <f t="shared" si="13"/>
        <v>550000</v>
      </c>
      <c r="P54" s="6">
        <f t="shared" si="13"/>
        <v>0</v>
      </c>
      <c r="Q54" s="6">
        <f t="shared" si="13"/>
        <v>0</v>
      </c>
      <c r="R54" s="6">
        <f t="shared" si="13"/>
        <v>0</v>
      </c>
      <c r="S54" s="6">
        <f t="shared" si="13"/>
        <v>0</v>
      </c>
      <c r="T54" s="6">
        <f t="shared" si="13"/>
        <v>0</v>
      </c>
      <c r="U54" s="6">
        <f t="shared" si="13"/>
        <v>0</v>
      </c>
      <c r="V54" s="6">
        <f t="shared" si="13"/>
        <v>0</v>
      </c>
      <c r="W54" s="6">
        <f t="shared" si="13"/>
        <v>0</v>
      </c>
      <c r="X54" s="6">
        <f t="shared" si="10"/>
        <v>0</v>
      </c>
      <c r="Z54" s="30">
        <f t="shared" si="2"/>
        <v>0</v>
      </c>
    </row>
    <row r="55" spans="6:26" ht="60" customHeight="1" x14ac:dyDescent="0.2">
      <c r="F55" s="50">
        <v>20600</v>
      </c>
      <c r="G55" s="51" t="s">
        <v>43</v>
      </c>
      <c r="H55" s="52"/>
      <c r="I55" s="52"/>
      <c r="J55" s="52"/>
      <c r="K55" s="52"/>
      <c r="L55" s="52"/>
      <c r="M55" s="52"/>
      <c r="N55" s="52"/>
      <c r="O55" s="5"/>
      <c r="P55" s="5"/>
      <c r="Q55" s="5"/>
      <c r="R55" s="5"/>
      <c r="S55" s="5"/>
      <c r="T55" s="5"/>
      <c r="U55" s="5"/>
      <c r="V55" s="5"/>
      <c r="W55" s="5"/>
      <c r="X55" s="6">
        <f t="shared" si="10"/>
        <v>0</v>
      </c>
      <c r="Z55" s="30">
        <f t="shared" si="2"/>
        <v>0</v>
      </c>
    </row>
    <row r="56" spans="6:26" ht="60" customHeight="1" x14ac:dyDescent="0.2">
      <c r="F56" s="50">
        <f t="shared" ref="F56:F63" si="14">+F55+1</f>
        <v>20601</v>
      </c>
      <c r="G56" s="53" t="s">
        <v>44</v>
      </c>
      <c r="H56" s="52"/>
      <c r="I56" s="52">
        <v>400000</v>
      </c>
      <c r="J56" s="52"/>
      <c r="K56" s="52"/>
      <c r="L56" s="52">
        <f>I56</f>
        <v>400000</v>
      </c>
      <c r="M56" s="52"/>
      <c r="N56" s="52"/>
      <c r="O56" s="7">
        <f t="shared" ref="O56:O62" si="15">SUM(K56:N56)</f>
        <v>400000</v>
      </c>
      <c r="P56" s="5"/>
      <c r="Q56" s="5"/>
      <c r="R56" s="5"/>
      <c r="S56" s="5"/>
      <c r="T56" s="5"/>
      <c r="U56" s="5"/>
      <c r="V56" s="5"/>
      <c r="W56" s="5">
        <f t="shared" ref="W56:W62" si="16">V56+U56+T56+S56</f>
        <v>0</v>
      </c>
      <c r="X56" s="6">
        <f t="shared" si="10"/>
        <v>0</v>
      </c>
      <c r="Z56" s="30">
        <f t="shared" si="2"/>
        <v>0</v>
      </c>
    </row>
    <row r="57" spans="6:26" ht="60" customHeight="1" x14ac:dyDescent="0.2">
      <c r="F57" s="50">
        <f t="shared" si="14"/>
        <v>20602</v>
      </c>
      <c r="G57" s="53" t="s">
        <v>45</v>
      </c>
      <c r="H57" s="52"/>
      <c r="I57" s="52">
        <v>9000000</v>
      </c>
      <c r="J57" s="52">
        <f>I57/2</f>
        <v>4500000</v>
      </c>
      <c r="K57" s="52">
        <f>I57-J57</f>
        <v>4500000</v>
      </c>
      <c r="L57" s="52"/>
      <c r="M57" s="52"/>
      <c r="N57" s="52"/>
      <c r="O57" s="7">
        <f t="shared" si="15"/>
        <v>4500000</v>
      </c>
      <c r="P57" s="5"/>
      <c r="Q57" s="5"/>
      <c r="R57" s="5"/>
      <c r="S57" s="5"/>
      <c r="T57" s="5"/>
      <c r="U57" s="5"/>
      <c r="V57" s="5"/>
      <c r="W57" s="5">
        <f t="shared" si="16"/>
        <v>0</v>
      </c>
      <c r="X57" s="6">
        <f t="shared" si="10"/>
        <v>0</v>
      </c>
      <c r="Z57" s="30">
        <f t="shared" si="2"/>
        <v>0</v>
      </c>
    </row>
    <row r="58" spans="6:26" ht="60" customHeight="1" x14ac:dyDescent="0.2">
      <c r="F58" s="50">
        <f t="shared" si="14"/>
        <v>20603</v>
      </c>
      <c r="G58" s="53" t="s">
        <v>46</v>
      </c>
      <c r="H58" s="52">
        <v>50000</v>
      </c>
      <c r="I58" s="52"/>
      <c r="J58" s="52"/>
      <c r="K58" s="52"/>
      <c r="L58" s="52"/>
      <c r="M58" s="52"/>
      <c r="N58" s="52"/>
      <c r="O58" s="7">
        <f t="shared" si="15"/>
        <v>0</v>
      </c>
      <c r="P58" s="5"/>
      <c r="Q58" s="5"/>
      <c r="R58" s="5"/>
      <c r="S58" s="5"/>
      <c r="T58" s="5"/>
      <c r="U58" s="5"/>
      <c r="V58" s="5"/>
      <c r="W58" s="5">
        <f t="shared" si="16"/>
        <v>0</v>
      </c>
      <c r="X58" s="6">
        <f t="shared" si="10"/>
        <v>0</v>
      </c>
      <c r="Z58" s="30">
        <f t="shared" si="2"/>
        <v>0</v>
      </c>
    </row>
    <row r="59" spans="6:26" ht="60" customHeight="1" x14ac:dyDescent="0.2">
      <c r="F59" s="50">
        <f t="shared" si="14"/>
        <v>20604</v>
      </c>
      <c r="G59" s="53" t="s">
        <v>408</v>
      </c>
      <c r="H59" s="52">
        <v>500000</v>
      </c>
      <c r="I59" s="52"/>
      <c r="J59" s="52"/>
      <c r="K59" s="52"/>
      <c r="L59" s="52"/>
      <c r="M59" s="52"/>
      <c r="N59" s="52"/>
      <c r="O59" s="7">
        <f t="shared" si="15"/>
        <v>0</v>
      </c>
      <c r="P59" s="5"/>
      <c r="Q59" s="5"/>
      <c r="R59" s="5"/>
      <c r="S59" s="5"/>
      <c r="T59" s="5"/>
      <c r="U59" s="5"/>
      <c r="V59" s="5"/>
      <c r="W59" s="5">
        <f t="shared" si="16"/>
        <v>0</v>
      </c>
      <c r="X59" s="6">
        <f t="shared" si="10"/>
        <v>0</v>
      </c>
      <c r="Z59" s="30">
        <f t="shared" si="2"/>
        <v>0</v>
      </c>
    </row>
    <row r="60" spans="6:26" ht="60" customHeight="1" x14ac:dyDescent="0.2">
      <c r="F60" s="50">
        <f t="shared" si="14"/>
        <v>20605</v>
      </c>
      <c r="G60" s="53" t="s">
        <v>47</v>
      </c>
      <c r="H60" s="52"/>
      <c r="I60" s="52">
        <v>8100000</v>
      </c>
      <c r="J60" s="52">
        <f>I60/2</f>
        <v>4050000</v>
      </c>
      <c r="K60" s="52">
        <f>I60-J60</f>
        <v>4050000</v>
      </c>
      <c r="L60" s="52"/>
      <c r="M60" s="52"/>
      <c r="N60" s="52"/>
      <c r="O60" s="7">
        <f t="shared" si="15"/>
        <v>4050000</v>
      </c>
      <c r="P60" s="5"/>
      <c r="Q60" s="5"/>
      <c r="R60" s="5"/>
      <c r="S60" s="5"/>
      <c r="T60" s="5"/>
      <c r="U60" s="5"/>
      <c r="V60" s="5"/>
      <c r="W60" s="5">
        <f t="shared" si="16"/>
        <v>0</v>
      </c>
      <c r="X60" s="6">
        <f t="shared" si="10"/>
        <v>0</v>
      </c>
      <c r="Z60" s="30">
        <f t="shared" si="2"/>
        <v>0</v>
      </c>
    </row>
    <row r="61" spans="6:26" ht="60" customHeight="1" x14ac:dyDescent="0.2">
      <c r="F61" s="50">
        <f t="shared" si="14"/>
        <v>20606</v>
      </c>
      <c r="G61" s="53" t="s">
        <v>407</v>
      </c>
      <c r="H61" s="52">
        <f>2000000-I61</f>
        <v>1900000</v>
      </c>
      <c r="I61" s="52">
        <v>100000</v>
      </c>
      <c r="J61" s="52"/>
      <c r="K61" s="52"/>
      <c r="L61" s="52">
        <f>I61</f>
        <v>100000</v>
      </c>
      <c r="M61" s="52"/>
      <c r="N61" s="52"/>
      <c r="O61" s="7">
        <f t="shared" si="15"/>
        <v>100000</v>
      </c>
      <c r="P61" s="5"/>
      <c r="Q61" s="5"/>
      <c r="R61" s="5"/>
      <c r="S61" s="5"/>
      <c r="T61" s="5"/>
      <c r="U61" s="5"/>
      <c r="V61" s="5"/>
      <c r="W61" s="5">
        <f t="shared" si="16"/>
        <v>0</v>
      </c>
      <c r="X61" s="6">
        <f t="shared" si="10"/>
        <v>0</v>
      </c>
      <c r="Z61" s="30">
        <f t="shared" si="2"/>
        <v>0</v>
      </c>
    </row>
    <row r="62" spans="6:26" ht="60" customHeight="1" x14ac:dyDescent="0.2">
      <c r="F62" s="50">
        <f t="shared" si="14"/>
        <v>20607</v>
      </c>
      <c r="G62" s="53" t="s">
        <v>335</v>
      </c>
      <c r="H62" s="52">
        <v>500000</v>
      </c>
      <c r="I62" s="52"/>
      <c r="J62" s="52"/>
      <c r="K62" s="52"/>
      <c r="L62" s="52"/>
      <c r="M62" s="52"/>
      <c r="N62" s="52"/>
      <c r="O62" s="7">
        <f t="shared" si="15"/>
        <v>0</v>
      </c>
      <c r="P62" s="5"/>
      <c r="Q62" s="5"/>
      <c r="R62" s="5"/>
      <c r="S62" s="5"/>
      <c r="T62" s="5"/>
      <c r="U62" s="5"/>
      <c r="V62" s="5"/>
      <c r="W62" s="5">
        <f t="shared" si="16"/>
        <v>0</v>
      </c>
      <c r="X62" s="6">
        <f>Q62-R62-W62</f>
        <v>0</v>
      </c>
      <c r="Z62" s="30">
        <f t="shared" si="2"/>
        <v>0</v>
      </c>
    </row>
    <row r="63" spans="6:26" ht="60" customHeight="1" x14ac:dyDescent="0.2">
      <c r="F63" s="50">
        <f t="shared" si="14"/>
        <v>20608</v>
      </c>
      <c r="G63" s="53" t="s">
        <v>361</v>
      </c>
      <c r="H63" s="52"/>
      <c r="I63" s="52">
        <v>700000</v>
      </c>
      <c r="J63" s="52"/>
      <c r="K63" s="52"/>
      <c r="L63" s="52">
        <f>I63</f>
        <v>700000</v>
      </c>
      <c r="M63" s="52"/>
      <c r="N63" s="52"/>
      <c r="O63" s="7">
        <f>SUM(K63:N63)</f>
        <v>700000</v>
      </c>
      <c r="P63" s="5"/>
      <c r="Q63" s="5"/>
      <c r="R63" s="5"/>
      <c r="S63" s="5"/>
      <c r="T63" s="5"/>
      <c r="U63" s="5"/>
      <c r="V63" s="5"/>
      <c r="W63" s="5"/>
      <c r="X63" s="6"/>
      <c r="Z63" s="30">
        <f t="shared" si="2"/>
        <v>0</v>
      </c>
    </row>
    <row r="64" spans="6:26" ht="60" customHeight="1" x14ac:dyDescent="0.2">
      <c r="F64" s="58"/>
      <c r="G64" s="56" t="s">
        <v>48</v>
      </c>
      <c r="H64" s="57">
        <f t="shared" ref="H64:W64" si="17">SUM(H56:H63)</f>
        <v>2950000</v>
      </c>
      <c r="I64" s="57">
        <f t="shared" si="17"/>
        <v>18300000</v>
      </c>
      <c r="J64" s="57">
        <f t="shared" si="17"/>
        <v>8550000</v>
      </c>
      <c r="K64" s="57">
        <f t="shared" si="17"/>
        <v>8550000</v>
      </c>
      <c r="L64" s="57">
        <f t="shared" si="17"/>
        <v>1200000</v>
      </c>
      <c r="M64" s="57">
        <f t="shared" si="17"/>
        <v>0</v>
      </c>
      <c r="N64" s="57">
        <f t="shared" si="17"/>
        <v>0</v>
      </c>
      <c r="O64" s="6">
        <f t="shared" si="17"/>
        <v>9750000</v>
      </c>
      <c r="P64" s="6">
        <f t="shared" si="17"/>
        <v>0</v>
      </c>
      <c r="Q64" s="6">
        <f t="shared" si="17"/>
        <v>0</v>
      </c>
      <c r="R64" s="6">
        <f t="shared" si="17"/>
        <v>0</v>
      </c>
      <c r="S64" s="6">
        <f t="shared" si="17"/>
        <v>0</v>
      </c>
      <c r="T64" s="6">
        <f t="shared" si="17"/>
        <v>0</v>
      </c>
      <c r="U64" s="6">
        <f t="shared" si="17"/>
        <v>0</v>
      </c>
      <c r="V64" s="6">
        <f t="shared" si="17"/>
        <v>0</v>
      </c>
      <c r="W64" s="6">
        <f t="shared" si="17"/>
        <v>0</v>
      </c>
      <c r="X64" s="6">
        <f t="shared" si="10"/>
        <v>0</v>
      </c>
      <c r="Z64" s="30">
        <f t="shared" si="2"/>
        <v>0</v>
      </c>
    </row>
    <row r="65" spans="6:26" ht="60" customHeight="1" x14ac:dyDescent="0.2">
      <c r="F65" s="50">
        <v>20700</v>
      </c>
      <c r="G65" s="51" t="s">
        <v>49</v>
      </c>
      <c r="H65" s="52"/>
      <c r="I65" s="52"/>
      <c r="J65" s="52"/>
      <c r="K65" s="52"/>
      <c r="L65" s="52"/>
      <c r="M65" s="52"/>
      <c r="N65" s="52"/>
      <c r="O65" s="5"/>
      <c r="P65" s="5"/>
      <c r="Q65" s="5"/>
      <c r="R65" s="5"/>
      <c r="S65" s="5"/>
      <c r="T65" s="5"/>
      <c r="U65" s="5"/>
      <c r="V65" s="5"/>
      <c r="W65" s="5"/>
      <c r="X65" s="6">
        <f t="shared" ref="X65:X105" si="18">Q65-R65-W65</f>
        <v>0</v>
      </c>
      <c r="Z65" s="30">
        <f t="shared" si="2"/>
        <v>0</v>
      </c>
    </row>
    <row r="66" spans="6:26" ht="60" customHeight="1" x14ac:dyDescent="0.2">
      <c r="F66" s="50">
        <f>+F65+1</f>
        <v>20701</v>
      </c>
      <c r="G66" s="53" t="s">
        <v>50</v>
      </c>
      <c r="H66" s="52">
        <f>800000-I66</f>
        <v>700000</v>
      </c>
      <c r="I66" s="52">
        <v>100000</v>
      </c>
      <c r="J66" s="52"/>
      <c r="K66" s="52">
        <f>I66</f>
        <v>100000</v>
      </c>
      <c r="L66" s="52"/>
      <c r="M66" s="52"/>
      <c r="N66" s="52"/>
      <c r="O66" s="7">
        <f t="shared" ref="O66:O78" si="19">SUM(K66:N66)</f>
        <v>100000</v>
      </c>
      <c r="P66" s="5"/>
      <c r="Q66" s="5"/>
      <c r="R66" s="5"/>
      <c r="S66" s="5"/>
      <c r="T66" s="5"/>
      <c r="U66" s="5"/>
      <c r="V66" s="5"/>
      <c r="W66" s="5">
        <f t="shared" ref="W66:W78" si="20">V66+U66+T66+S66</f>
        <v>0</v>
      </c>
      <c r="X66" s="6">
        <f t="shared" si="18"/>
        <v>0</v>
      </c>
      <c r="Z66" s="30">
        <f t="shared" si="2"/>
        <v>0</v>
      </c>
    </row>
    <row r="67" spans="6:26" ht="60" customHeight="1" x14ac:dyDescent="0.2">
      <c r="F67" s="50">
        <f t="shared" ref="F67:F78" si="21">+F66+1</f>
        <v>20702</v>
      </c>
      <c r="G67" s="53" t="s">
        <v>51</v>
      </c>
      <c r="H67" s="52">
        <f>500000-I67</f>
        <v>400000</v>
      </c>
      <c r="I67" s="52">
        <v>100000</v>
      </c>
      <c r="J67" s="52"/>
      <c r="K67" s="52"/>
      <c r="L67" s="52"/>
      <c r="M67" s="52"/>
      <c r="N67" s="52">
        <f>I67</f>
        <v>100000</v>
      </c>
      <c r="O67" s="7">
        <f t="shared" si="19"/>
        <v>100000</v>
      </c>
      <c r="P67" s="5"/>
      <c r="Q67" s="5"/>
      <c r="R67" s="5"/>
      <c r="S67" s="5"/>
      <c r="T67" s="5"/>
      <c r="U67" s="5"/>
      <c r="V67" s="5"/>
      <c r="W67" s="5">
        <f t="shared" si="20"/>
        <v>0</v>
      </c>
      <c r="X67" s="6">
        <f t="shared" si="18"/>
        <v>0</v>
      </c>
      <c r="Z67" s="30">
        <f t="shared" si="2"/>
        <v>0</v>
      </c>
    </row>
    <row r="68" spans="6:26" ht="60" customHeight="1" x14ac:dyDescent="0.2">
      <c r="F68" s="50">
        <f t="shared" si="21"/>
        <v>20703</v>
      </c>
      <c r="G68" s="53" t="s">
        <v>52</v>
      </c>
      <c r="H68" s="52">
        <f>2000000-I68</f>
        <v>1900000</v>
      </c>
      <c r="I68" s="52">
        <v>100000</v>
      </c>
      <c r="J68" s="52"/>
      <c r="K68" s="52"/>
      <c r="L68" s="52"/>
      <c r="M68" s="52"/>
      <c r="N68" s="52">
        <f t="shared" ref="N68:N76" si="22">I68</f>
        <v>100000</v>
      </c>
      <c r="O68" s="7">
        <f t="shared" si="19"/>
        <v>100000</v>
      </c>
      <c r="P68" s="5"/>
      <c r="Q68" s="5"/>
      <c r="R68" s="5"/>
      <c r="S68" s="5"/>
      <c r="T68" s="5"/>
      <c r="U68" s="5"/>
      <c r="V68" s="5"/>
      <c r="W68" s="5">
        <f t="shared" si="20"/>
        <v>0</v>
      </c>
      <c r="X68" s="6">
        <f t="shared" si="18"/>
        <v>0</v>
      </c>
      <c r="Z68" s="30">
        <f t="shared" si="2"/>
        <v>0</v>
      </c>
    </row>
    <row r="69" spans="6:26" ht="60" customHeight="1" x14ac:dyDescent="0.2">
      <c r="F69" s="50">
        <f t="shared" si="21"/>
        <v>20704</v>
      </c>
      <c r="G69" s="53" t="s">
        <v>53</v>
      </c>
      <c r="H69" s="52">
        <f>300000-I69</f>
        <v>200000</v>
      </c>
      <c r="I69" s="52">
        <v>100000</v>
      </c>
      <c r="J69" s="52"/>
      <c r="K69" s="52"/>
      <c r="L69" s="52"/>
      <c r="M69" s="52"/>
      <c r="N69" s="52">
        <f t="shared" si="22"/>
        <v>100000</v>
      </c>
      <c r="O69" s="7">
        <f t="shared" si="19"/>
        <v>100000</v>
      </c>
      <c r="P69" s="5"/>
      <c r="Q69" s="5"/>
      <c r="R69" s="5"/>
      <c r="S69" s="5"/>
      <c r="T69" s="5"/>
      <c r="U69" s="5"/>
      <c r="V69" s="5"/>
      <c r="W69" s="5">
        <f t="shared" si="20"/>
        <v>0</v>
      </c>
      <c r="X69" s="6">
        <f t="shared" si="18"/>
        <v>0</v>
      </c>
      <c r="Z69" s="30">
        <f t="shared" si="2"/>
        <v>0</v>
      </c>
    </row>
    <row r="70" spans="6:26" ht="60" customHeight="1" x14ac:dyDescent="0.2">
      <c r="F70" s="50">
        <f t="shared" si="21"/>
        <v>20705</v>
      </c>
      <c r="G70" s="53" t="s">
        <v>54</v>
      </c>
      <c r="H70" s="52">
        <v>500000</v>
      </c>
      <c r="I70" s="52"/>
      <c r="J70" s="52"/>
      <c r="K70" s="52"/>
      <c r="L70" s="52"/>
      <c r="M70" s="52"/>
      <c r="N70" s="52"/>
      <c r="O70" s="7">
        <f t="shared" si="19"/>
        <v>0</v>
      </c>
      <c r="P70" s="5"/>
      <c r="Q70" s="5"/>
      <c r="R70" s="5"/>
      <c r="S70" s="5"/>
      <c r="T70" s="5"/>
      <c r="U70" s="5"/>
      <c r="V70" s="5"/>
      <c r="W70" s="5">
        <f t="shared" si="20"/>
        <v>0</v>
      </c>
      <c r="X70" s="6">
        <f t="shared" si="18"/>
        <v>0</v>
      </c>
      <c r="Z70" s="30">
        <f t="shared" si="2"/>
        <v>0</v>
      </c>
    </row>
    <row r="71" spans="6:26" ht="60" customHeight="1" x14ac:dyDescent="0.2">
      <c r="F71" s="50">
        <f t="shared" si="21"/>
        <v>20706</v>
      </c>
      <c r="G71" s="53" t="s">
        <v>409</v>
      </c>
      <c r="H71" s="52">
        <f>3000000-I71</f>
        <v>2500000</v>
      </c>
      <c r="I71" s="52">
        <v>500000</v>
      </c>
      <c r="J71" s="52"/>
      <c r="K71" s="52"/>
      <c r="L71" s="52"/>
      <c r="M71" s="52"/>
      <c r="N71" s="52">
        <f t="shared" si="22"/>
        <v>500000</v>
      </c>
      <c r="O71" s="7">
        <f t="shared" si="19"/>
        <v>500000</v>
      </c>
      <c r="P71" s="5"/>
      <c r="Q71" s="5"/>
      <c r="R71" s="5"/>
      <c r="S71" s="5"/>
      <c r="T71" s="5"/>
      <c r="U71" s="5"/>
      <c r="V71" s="5"/>
      <c r="W71" s="5">
        <f t="shared" si="20"/>
        <v>0</v>
      </c>
      <c r="X71" s="6">
        <f t="shared" si="18"/>
        <v>0</v>
      </c>
      <c r="Z71" s="30">
        <f t="shared" si="2"/>
        <v>0</v>
      </c>
    </row>
    <row r="72" spans="6:26" ht="60" customHeight="1" x14ac:dyDescent="0.2">
      <c r="F72" s="50">
        <f t="shared" si="21"/>
        <v>20707</v>
      </c>
      <c r="G72" s="53" t="s">
        <v>55</v>
      </c>
      <c r="H72" s="52">
        <v>2500000</v>
      </c>
      <c r="I72" s="52"/>
      <c r="J72" s="52"/>
      <c r="K72" s="52"/>
      <c r="L72" s="52"/>
      <c r="M72" s="52"/>
      <c r="N72" s="52"/>
      <c r="O72" s="7">
        <f t="shared" si="19"/>
        <v>0</v>
      </c>
      <c r="P72" s="5"/>
      <c r="Q72" s="5"/>
      <c r="R72" s="5"/>
      <c r="S72" s="5"/>
      <c r="T72" s="5"/>
      <c r="U72" s="5"/>
      <c r="V72" s="5"/>
      <c r="W72" s="5">
        <f t="shared" si="20"/>
        <v>0</v>
      </c>
      <c r="X72" s="6">
        <f t="shared" si="18"/>
        <v>0</v>
      </c>
      <c r="Z72" s="30">
        <f t="shared" ref="Z72:Z136" si="23">I72-J72-SUM(K72:N72)</f>
        <v>0</v>
      </c>
    </row>
    <row r="73" spans="6:26" ht="60" customHeight="1" x14ac:dyDescent="0.2">
      <c r="F73" s="50">
        <f t="shared" si="21"/>
        <v>20708</v>
      </c>
      <c r="G73" s="53" t="s">
        <v>56</v>
      </c>
      <c r="H73" s="52"/>
      <c r="I73" s="52">
        <v>300000</v>
      </c>
      <c r="J73" s="52"/>
      <c r="K73" s="52"/>
      <c r="L73" s="52"/>
      <c r="M73" s="52"/>
      <c r="N73" s="52">
        <f t="shared" si="22"/>
        <v>300000</v>
      </c>
      <c r="O73" s="7">
        <f t="shared" si="19"/>
        <v>300000</v>
      </c>
      <c r="P73" s="5"/>
      <c r="Q73" s="5"/>
      <c r="R73" s="5"/>
      <c r="S73" s="5"/>
      <c r="T73" s="5"/>
      <c r="U73" s="5"/>
      <c r="V73" s="5"/>
      <c r="W73" s="5">
        <f t="shared" si="20"/>
        <v>0</v>
      </c>
      <c r="X73" s="6">
        <f t="shared" si="18"/>
        <v>0</v>
      </c>
      <c r="Z73" s="30">
        <f t="shared" si="23"/>
        <v>0</v>
      </c>
    </row>
    <row r="74" spans="6:26" ht="60" customHeight="1" x14ac:dyDescent="0.2">
      <c r="F74" s="50">
        <f t="shared" si="21"/>
        <v>20709</v>
      </c>
      <c r="G74" s="53" t="s">
        <v>57</v>
      </c>
      <c r="H74" s="52">
        <v>1000000</v>
      </c>
      <c r="I74" s="52"/>
      <c r="J74" s="52"/>
      <c r="K74" s="52"/>
      <c r="L74" s="52"/>
      <c r="M74" s="52"/>
      <c r="N74" s="52"/>
      <c r="O74" s="7">
        <f t="shared" si="19"/>
        <v>0</v>
      </c>
      <c r="P74" s="5"/>
      <c r="Q74" s="5"/>
      <c r="R74" s="5"/>
      <c r="S74" s="5"/>
      <c r="T74" s="5"/>
      <c r="U74" s="5"/>
      <c r="V74" s="5"/>
      <c r="W74" s="5">
        <f t="shared" si="20"/>
        <v>0</v>
      </c>
      <c r="X74" s="6">
        <f t="shared" si="18"/>
        <v>0</v>
      </c>
      <c r="Z74" s="30">
        <f t="shared" si="23"/>
        <v>0</v>
      </c>
    </row>
    <row r="75" spans="6:26" ht="60" customHeight="1" x14ac:dyDescent="0.2">
      <c r="F75" s="50">
        <f t="shared" si="21"/>
        <v>20710</v>
      </c>
      <c r="G75" s="53" t="s">
        <v>58</v>
      </c>
      <c r="H75" s="52">
        <f>2000000-I75</f>
        <v>1200000</v>
      </c>
      <c r="I75" s="52">
        <v>800000</v>
      </c>
      <c r="J75" s="52"/>
      <c r="K75" s="52"/>
      <c r="L75" s="52"/>
      <c r="M75" s="52"/>
      <c r="N75" s="52">
        <f t="shared" si="22"/>
        <v>800000</v>
      </c>
      <c r="O75" s="7">
        <f t="shared" si="19"/>
        <v>800000</v>
      </c>
      <c r="P75" s="5"/>
      <c r="Q75" s="5"/>
      <c r="R75" s="5"/>
      <c r="S75" s="5"/>
      <c r="T75" s="5"/>
      <c r="U75" s="5"/>
      <c r="V75" s="5"/>
      <c r="W75" s="5">
        <f t="shared" si="20"/>
        <v>0</v>
      </c>
      <c r="X75" s="6">
        <f t="shared" si="18"/>
        <v>0</v>
      </c>
      <c r="Z75" s="30">
        <f t="shared" si="23"/>
        <v>0</v>
      </c>
    </row>
    <row r="76" spans="6:26" ht="60" customHeight="1" x14ac:dyDescent="0.2">
      <c r="F76" s="50">
        <f t="shared" si="21"/>
        <v>20711</v>
      </c>
      <c r="G76" s="53" t="s">
        <v>59</v>
      </c>
      <c r="H76" s="52">
        <f>100000-I76</f>
        <v>50000</v>
      </c>
      <c r="I76" s="52">
        <v>50000</v>
      </c>
      <c r="J76" s="52"/>
      <c r="K76" s="52"/>
      <c r="L76" s="52"/>
      <c r="M76" s="52"/>
      <c r="N76" s="52">
        <f t="shared" si="22"/>
        <v>50000</v>
      </c>
      <c r="O76" s="7">
        <f t="shared" si="19"/>
        <v>50000</v>
      </c>
      <c r="P76" s="5"/>
      <c r="Q76" s="5"/>
      <c r="R76" s="5"/>
      <c r="S76" s="5"/>
      <c r="T76" s="5"/>
      <c r="U76" s="5"/>
      <c r="V76" s="5"/>
      <c r="W76" s="5">
        <f t="shared" si="20"/>
        <v>0</v>
      </c>
      <c r="X76" s="6">
        <f t="shared" si="18"/>
        <v>0</v>
      </c>
      <c r="Z76" s="30">
        <f t="shared" si="23"/>
        <v>0</v>
      </c>
    </row>
    <row r="77" spans="6:26" ht="60" customHeight="1" x14ac:dyDescent="0.2">
      <c r="F77" s="50">
        <f t="shared" si="21"/>
        <v>20712</v>
      </c>
      <c r="G77" s="53" t="s">
        <v>316</v>
      </c>
      <c r="H77" s="52"/>
      <c r="I77" s="52">
        <v>20000000</v>
      </c>
      <c r="J77" s="52">
        <f>I77</f>
        <v>20000000</v>
      </c>
      <c r="K77" s="52"/>
      <c r="L77" s="52"/>
      <c r="M77" s="52"/>
      <c r="N77" s="52"/>
      <c r="O77" s="7">
        <f t="shared" si="19"/>
        <v>0</v>
      </c>
      <c r="P77" s="5"/>
      <c r="Q77" s="5"/>
      <c r="R77" s="5"/>
      <c r="S77" s="5"/>
      <c r="T77" s="5"/>
      <c r="U77" s="5"/>
      <c r="V77" s="5"/>
      <c r="W77" s="5"/>
      <c r="X77" s="6"/>
      <c r="Z77" s="30">
        <f t="shared" si="23"/>
        <v>0</v>
      </c>
    </row>
    <row r="78" spans="6:26" ht="60" customHeight="1" x14ac:dyDescent="0.2">
      <c r="F78" s="50">
        <f t="shared" si="21"/>
        <v>20713</v>
      </c>
      <c r="G78" s="53" t="s">
        <v>262</v>
      </c>
      <c r="H78" s="52"/>
      <c r="I78" s="52">
        <v>350000</v>
      </c>
      <c r="J78" s="52"/>
      <c r="K78" s="52">
        <f>I78</f>
        <v>350000</v>
      </c>
      <c r="L78" s="52"/>
      <c r="M78" s="52"/>
      <c r="N78" s="52"/>
      <c r="O78" s="7">
        <f t="shared" si="19"/>
        <v>350000</v>
      </c>
      <c r="P78" s="5"/>
      <c r="Q78" s="5"/>
      <c r="R78" s="5"/>
      <c r="S78" s="5"/>
      <c r="T78" s="5"/>
      <c r="U78" s="5"/>
      <c r="V78" s="5"/>
      <c r="W78" s="5">
        <f t="shared" si="20"/>
        <v>0</v>
      </c>
      <c r="X78" s="6"/>
      <c r="Z78" s="30">
        <f t="shared" si="23"/>
        <v>0</v>
      </c>
    </row>
    <row r="79" spans="6:26" ht="60" customHeight="1" x14ac:dyDescent="0.2">
      <c r="F79" s="58"/>
      <c r="G79" s="56" t="s">
        <v>60</v>
      </c>
      <c r="H79" s="57">
        <f t="shared" ref="H79:W79" si="24">SUM(H66:H78)</f>
        <v>10950000</v>
      </c>
      <c r="I79" s="57">
        <f t="shared" si="24"/>
        <v>22400000</v>
      </c>
      <c r="J79" s="57">
        <f t="shared" si="24"/>
        <v>20000000</v>
      </c>
      <c r="K79" s="57">
        <f t="shared" si="24"/>
        <v>450000</v>
      </c>
      <c r="L79" s="57">
        <f t="shared" si="24"/>
        <v>0</v>
      </c>
      <c r="M79" s="57">
        <f t="shared" si="24"/>
        <v>0</v>
      </c>
      <c r="N79" s="57">
        <f t="shared" si="24"/>
        <v>1950000</v>
      </c>
      <c r="O79" s="6">
        <f t="shared" si="24"/>
        <v>2400000</v>
      </c>
      <c r="P79" s="6">
        <f t="shared" si="24"/>
        <v>0</v>
      </c>
      <c r="Q79" s="6">
        <f t="shared" si="24"/>
        <v>0</v>
      </c>
      <c r="R79" s="6">
        <f t="shared" si="24"/>
        <v>0</v>
      </c>
      <c r="S79" s="6">
        <f t="shared" si="24"/>
        <v>0</v>
      </c>
      <c r="T79" s="6">
        <f t="shared" si="24"/>
        <v>0</v>
      </c>
      <c r="U79" s="6">
        <f t="shared" si="24"/>
        <v>0</v>
      </c>
      <c r="V79" s="6">
        <f t="shared" si="24"/>
        <v>0</v>
      </c>
      <c r="W79" s="6">
        <f t="shared" si="24"/>
        <v>0</v>
      </c>
      <c r="X79" s="6">
        <f t="shared" si="18"/>
        <v>0</v>
      </c>
      <c r="Z79" s="30">
        <f t="shared" si="23"/>
        <v>0</v>
      </c>
    </row>
    <row r="80" spans="6:26" ht="60" customHeight="1" x14ac:dyDescent="0.2">
      <c r="F80" s="55"/>
      <c r="G80" s="56" t="s">
        <v>61</v>
      </c>
      <c r="H80" s="57">
        <f>H79+H64+H54+H50+H30+H18</f>
        <v>87800000</v>
      </c>
      <c r="I80" s="57">
        <f t="shared" ref="I80:N80" si="25">I79+I64+I54+I50+I30+I18</f>
        <v>125350000</v>
      </c>
      <c r="J80" s="57">
        <f t="shared" si="25"/>
        <v>43500000</v>
      </c>
      <c r="K80" s="57">
        <f t="shared" si="25"/>
        <v>26050000</v>
      </c>
      <c r="L80" s="57">
        <f t="shared" si="25"/>
        <v>39700000</v>
      </c>
      <c r="M80" s="57">
        <f t="shared" si="25"/>
        <v>2150000</v>
      </c>
      <c r="N80" s="57">
        <f t="shared" si="25"/>
        <v>13950000</v>
      </c>
      <c r="O80" s="6" t="e">
        <f>O79+O64+O54+O50+#REF!+O30+O18</f>
        <v>#REF!</v>
      </c>
      <c r="P80" s="6" t="e">
        <f>P79+P64+P54+P50+#REF!+P30+P18</f>
        <v>#REF!</v>
      </c>
      <c r="Q80" s="6" t="e">
        <f>Q79+Q64+Q54+Q50+#REF!+Q30+Q18</f>
        <v>#REF!</v>
      </c>
      <c r="R80" s="6" t="e">
        <f>R79+R64+R54+R50+#REF!+R30+R18</f>
        <v>#REF!</v>
      </c>
      <c r="S80" s="6" t="e">
        <f>S79+S64+S54+S50+#REF!+S30+S18</f>
        <v>#REF!</v>
      </c>
      <c r="T80" s="6" t="e">
        <f>T79+T64+T54+T50+#REF!+T30+T18</f>
        <v>#REF!</v>
      </c>
      <c r="U80" s="6" t="e">
        <f>U79+U64+U54+U50+#REF!+U30+U18</f>
        <v>#REF!</v>
      </c>
      <c r="V80" s="6" t="e">
        <f>V79+V64+V54+V50+#REF!+V30+V18</f>
        <v>#REF!</v>
      </c>
      <c r="W80" s="6" t="e">
        <f>W79+W64+W54+W50+#REF!+W30+W18</f>
        <v>#REF!</v>
      </c>
      <c r="X80" s="6" t="e">
        <f t="shared" si="18"/>
        <v>#REF!</v>
      </c>
      <c r="Z80" s="30">
        <f t="shared" si="23"/>
        <v>0</v>
      </c>
    </row>
    <row r="81" spans="6:26" ht="60" customHeight="1" x14ac:dyDescent="0.2">
      <c r="F81" s="50"/>
      <c r="G81" s="51" t="s">
        <v>62</v>
      </c>
      <c r="H81" s="52"/>
      <c r="I81" s="52"/>
      <c r="J81" s="52"/>
      <c r="K81" s="52"/>
      <c r="L81" s="52"/>
      <c r="M81" s="52"/>
      <c r="N81" s="52"/>
      <c r="O81" s="5"/>
      <c r="P81" s="5"/>
      <c r="Q81" s="5"/>
      <c r="R81" s="5"/>
      <c r="S81" s="5"/>
      <c r="T81" s="5"/>
      <c r="U81" s="5"/>
      <c r="V81" s="5"/>
      <c r="W81" s="5"/>
      <c r="X81" s="6">
        <f t="shared" si="18"/>
        <v>0</v>
      </c>
      <c r="Z81" s="30">
        <f t="shared" si="23"/>
        <v>0</v>
      </c>
    </row>
    <row r="82" spans="6:26" ht="60" customHeight="1" x14ac:dyDescent="0.2">
      <c r="F82" s="50"/>
      <c r="G82" s="51" t="s">
        <v>63</v>
      </c>
      <c r="H82" s="52"/>
      <c r="I82" s="52"/>
      <c r="J82" s="52"/>
      <c r="K82" s="52"/>
      <c r="L82" s="52"/>
      <c r="M82" s="52"/>
      <c r="N82" s="52"/>
      <c r="O82" s="5"/>
      <c r="P82" s="5"/>
      <c r="Q82" s="5"/>
      <c r="R82" s="5"/>
      <c r="S82" s="5"/>
      <c r="T82" s="5"/>
      <c r="U82" s="5"/>
      <c r="V82" s="5"/>
      <c r="W82" s="5"/>
      <c r="X82" s="6">
        <f t="shared" si="18"/>
        <v>0</v>
      </c>
      <c r="Z82" s="30">
        <f t="shared" si="23"/>
        <v>0</v>
      </c>
    </row>
    <row r="83" spans="6:26" ht="60" customHeight="1" x14ac:dyDescent="0.2">
      <c r="F83" s="50">
        <v>30100</v>
      </c>
      <c r="G83" s="51" t="s">
        <v>64</v>
      </c>
      <c r="H83" s="52"/>
      <c r="I83" s="52"/>
      <c r="J83" s="52"/>
      <c r="K83" s="52"/>
      <c r="L83" s="52"/>
      <c r="M83" s="52"/>
      <c r="N83" s="52"/>
      <c r="O83" s="5"/>
      <c r="P83" s="5"/>
      <c r="Q83" s="5"/>
      <c r="R83" s="5"/>
      <c r="S83" s="5"/>
      <c r="T83" s="5"/>
      <c r="U83" s="5"/>
      <c r="V83" s="5"/>
      <c r="W83" s="5"/>
      <c r="X83" s="6">
        <f t="shared" si="18"/>
        <v>0</v>
      </c>
      <c r="Z83" s="30">
        <f t="shared" si="23"/>
        <v>0</v>
      </c>
    </row>
    <row r="84" spans="6:26" ht="60" customHeight="1" x14ac:dyDescent="0.2">
      <c r="F84" s="50">
        <f t="shared" ref="F84:F89" si="26">+F83+1</f>
        <v>30101</v>
      </c>
      <c r="G84" s="53" t="s">
        <v>64</v>
      </c>
      <c r="H84" s="52">
        <f>2500000-I84</f>
        <v>300000</v>
      </c>
      <c r="I84" s="52">
        <v>2200000</v>
      </c>
      <c r="J84" s="52"/>
      <c r="K84" s="52"/>
      <c r="L84" s="52"/>
      <c r="M84" s="52">
        <f>I84/2-100000</f>
        <v>1000000</v>
      </c>
      <c r="N84" s="52">
        <f>I84-M84</f>
        <v>1200000</v>
      </c>
      <c r="O84" s="7">
        <f t="shared" ref="O84:O89" si="27">SUM(K84:N84)</f>
        <v>2200000</v>
      </c>
      <c r="P84" s="5"/>
      <c r="Q84" s="5"/>
      <c r="R84" s="5"/>
      <c r="S84" s="5"/>
      <c r="T84" s="5"/>
      <c r="U84" s="5"/>
      <c r="V84" s="5"/>
      <c r="W84" s="5">
        <f t="shared" ref="W84:W89" si="28">V84+U84+T84+S84</f>
        <v>0</v>
      </c>
      <c r="X84" s="6">
        <f t="shared" si="18"/>
        <v>0</v>
      </c>
      <c r="Z84" s="30">
        <f t="shared" si="23"/>
        <v>0</v>
      </c>
    </row>
    <row r="85" spans="6:26" ht="60" customHeight="1" x14ac:dyDescent="0.2">
      <c r="F85" s="50">
        <f t="shared" si="26"/>
        <v>30102</v>
      </c>
      <c r="G85" s="53" t="s">
        <v>65</v>
      </c>
      <c r="H85" s="52">
        <f>300000-I85</f>
        <v>100000</v>
      </c>
      <c r="I85" s="52">
        <v>200000</v>
      </c>
      <c r="J85" s="52"/>
      <c r="K85" s="52"/>
      <c r="L85" s="52"/>
      <c r="M85" s="52">
        <f>I85</f>
        <v>200000</v>
      </c>
      <c r="N85" s="52"/>
      <c r="O85" s="7">
        <f t="shared" si="27"/>
        <v>200000</v>
      </c>
      <c r="P85" s="5"/>
      <c r="Q85" s="5"/>
      <c r="R85" s="5"/>
      <c r="S85" s="5"/>
      <c r="T85" s="5"/>
      <c r="U85" s="5"/>
      <c r="V85" s="5"/>
      <c r="W85" s="5">
        <f t="shared" si="28"/>
        <v>0</v>
      </c>
      <c r="X85" s="6">
        <f t="shared" si="18"/>
        <v>0</v>
      </c>
      <c r="Z85" s="30">
        <f t="shared" si="23"/>
        <v>0</v>
      </c>
    </row>
    <row r="86" spans="6:26" ht="60" customHeight="1" x14ac:dyDescent="0.2">
      <c r="F86" s="50">
        <f t="shared" si="26"/>
        <v>30103</v>
      </c>
      <c r="G86" s="53" t="s">
        <v>66</v>
      </c>
      <c r="H86" s="52">
        <f>2000000-I86</f>
        <v>1600000</v>
      </c>
      <c r="I86" s="52">
        <v>400000</v>
      </c>
      <c r="J86" s="52"/>
      <c r="K86" s="52"/>
      <c r="L86" s="52"/>
      <c r="M86" s="52"/>
      <c r="N86" s="52">
        <f>I86</f>
        <v>400000</v>
      </c>
      <c r="O86" s="7">
        <f t="shared" si="27"/>
        <v>400000</v>
      </c>
      <c r="P86" s="5"/>
      <c r="Q86" s="5"/>
      <c r="R86" s="5"/>
      <c r="S86" s="5"/>
      <c r="T86" s="5"/>
      <c r="U86" s="5"/>
      <c r="V86" s="5"/>
      <c r="W86" s="5">
        <f t="shared" si="28"/>
        <v>0</v>
      </c>
      <c r="X86" s="6">
        <f t="shared" si="18"/>
        <v>0</v>
      </c>
      <c r="Z86" s="30">
        <f t="shared" si="23"/>
        <v>0</v>
      </c>
    </row>
    <row r="87" spans="6:26" ht="60" customHeight="1" x14ac:dyDescent="0.2">
      <c r="F87" s="50">
        <f t="shared" si="26"/>
        <v>30104</v>
      </c>
      <c r="G87" s="53" t="s">
        <v>67</v>
      </c>
      <c r="H87" s="52"/>
      <c r="I87" s="52">
        <v>250000</v>
      </c>
      <c r="J87" s="52"/>
      <c r="K87" s="52"/>
      <c r="L87" s="52"/>
      <c r="M87" s="52"/>
      <c r="N87" s="52">
        <f>I87</f>
        <v>250000</v>
      </c>
      <c r="O87" s="7">
        <f t="shared" si="27"/>
        <v>250000</v>
      </c>
      <c r="P87" s="5"/>
      <c r="Q87" s="5"/>
      <c r="R87" s="5"/>
      <c r="S87" s="5"/>
      <c r="T87" s="5"/>
      <c r="U87" s="5"/>
      <c r="V87" s="5"/>
      <c r="W87" s="5">
        <f t="shared" si="28"/>
        <v>0</v>
      </c>
      <c r="X87" s="6">
        <f t="shared" si="18"/>
        <v>0</v>
      </c>
      <c r="Z87" s="30">
        <f t="shared" si="23"/>
        <v>0</v>
      </c>
    </row>
    <row r="88" spans="6:26" ht="60" customHeight="1" x14ac:dyDescent="0.2">
      <c r="F88" s="50">
        <f t="shared" si="26"/>
        <v>30105</v>
      </c>
      <c r="G88" s="53" t="s">
        <v>68</v>
      </c>
      <c r="H88" s="52"/>
      <c r="I88" s="52">
        <v>850000</v>
      </c>
      <c r="J88" s="52"/>
      <c r="K88" s="52"/>
      <c r="L88" s="52"/>
      <c r="M88" s="52">
        <f>I88</f>
        <v>850000</v>
      </c>
      <c r="N88" s="52"/>
      <c r="O88" s="7">
        <f t="shared" si="27"/>
        <v>850000</v>
      </c>
      <c r="P88" s="5"/>
      <c r="Q88" s="5"/>
      <c r="R88" s="5"/>
      <c r="S88" s="5"/>
      <c r="T88" s="5"/>
      <c r="U88" s="5"/>
      <c r="V88" s="5"/>
      <c r="W88" s="5">
        <f t="shared" si="28"/>
        <v>0</v>
      </c>
      <c r="X88" s="6">
        <f t="shared" si="18"/>
        <v>0</v>
      </c>
      <c r="Z88" s="30">
        <f t="shared" si="23"/>
        <v>0</v>
      </c>
    </row>
    <row r="89" spans="6:26" ht="60" customHeight="1" x14ac:dyDescent="0.2">
      <c r="F89" s="50">
        <f t="shared" si="26"/>
        <v>30106</v>
      </c>
      <c r="G89" s="53" t="s">
        <v>474</v>
      </c>
      <c r="H89" s="52"/>
      <c r="I89" s="52">
        <f>8500000+6000000+6000000</f>
        <v>20500000</v>
      </c>
      <c r="J89" s="52">
        <f>I89</f>
        <v>20500000</v>
      </c>
      <c r="K89" s="52"/>
      <c r="L89" s="52"/>
      <c r="M89" s="52"/>
      <c r="N89" s="52"/>
      <c r="O89" s="7">
        <f t="shared" si="27"/>
        <v>0</v>
      </c>
      <c r="P89" s="5"/>
      <c r="Q89" s="5"/>
      <c r="R89" s="5"/>
      <c r="S89" s="5"/>
      <c r="T89" s="5"/>
      <c r="U89" s="5"/>
      <c r="V89" s="5"/>
      <c r="W89" s="5">
        <f t="shared" si="28"/>
        <v>0</v>
      </c>
      <c r="X89" s="6"/>
      <c r="Z89" s="30">
        <f t="shared" si="23"/>
        <v>0</v>
      </c>
    </row>
    <row r="90" spans="6:26" ht="60" customHeight="1" x14ac:dyDescent="0.2">
      <c r="F90" s="58"/>
      <c r="G90" s="56" t="s">
        <v>69</v>
      </c>
      <c r="H90" s="57">
        <f t="shared" ref="H90:W90" si="29">SUM(H84:H89)</f>
        <v>2000000</v>
      </c>
      <c r="I90" s="57">
        <f t="shared" si="29"/>
        <v>24400000</v>
      </c>
      <c r="J90" s="57">
        <f t="shared" si="29"/>
        <v>20500000</v>
      </c>
      <c r="K90" s="57">
        <f t="shared" si="29"/>
        <v>0</v>
      </c>
      <c r="L90" s="57">
        <f t="shared" si="29"/>
        <v>0</v>
      </c>
      <c r="M90" s="57">
        <f t="shared" si="29"/>
        <v>2050000</v>
      </c>
      <c r="N90" s="57">
        <f t="shared" si="29"/>
        <v>1850000</v>
      </c>
      <c r="O90" s="6">
        <f t="shared" si="29"/>
        <v>3900000</v>
      </c>
      <c r="P90" s="6">
        <f t="shared" si="29"/>
        <v>0</v>
      </c>
      <c r="Q90" s="6">
        <f t="shared" si="29"/>
        <v>0</v>
      </c>
      <c r="R90" s="6">
        <f t="shared" si="29"/>
        <v>0</v>
      </c>
      <c r="S90" s="6">
        <f t="shared" si="29"/>
        <v>0</v>
      </c>
      <c r="T90" s="6">
        <f t="shared" si="29"/>
        <v>0</v>
      </c>
      <c r="U90" s="6">
        <f t="shared" si="29"/>
        <v>0</v>
      </c>
      <c r="V90" s="6">
        <f t="shared" si="29"/>
        <v>0</v>
      </c>
      <c r="W90" s="6">
        <f t="shared" si="29"/>
        <v>0</v>
      </c>
      <c r="X90" s="6">
        <f t="shared" si="18"/>
        <v>0</v>
      </c>
      <c r="Z90" s="30">
        <f t="shared" si="23"/>
        <v>0</v>
      </c>
    </row>
    <row r="91" spans="6:26" ht="60" customHeight="1" x14ac:dyDescent="0.2">
      <c r="F91" s="50">
        <v>30200</v>
      </c>
      <c r="G91" s="51" t="s">
        <v>14</v>
      </c>
      <c r="H91" s="52"/>
      <c r="I91" s="52"/>
      <c r="J91" s="52"/>
      <c r="K91" s="52"/>
      <c r="L91" s="52"/>
      <c r="M91" s="52"/>
      <c r="N91" s="52"/>
      <c r="O91" s="5"/>
      <c r="P91" s="5"/>
      <c r="Q91" s="5"/>
      <c r="R91" s="5"/>
      <c r="S91" s="5"/>
      <c r="T91" s="5"/>
      <c r="U91" s="5"/>
      <c r="V91" s="5"/>
      <c r="W91" s="5"/>
      <c r="X91" s="6">
        <f t="shared" si="18"/>
        <v>0</v>
      </c>
      <c r="Z91" s="30">
        <f t="shared" si="23"/>
        <v>0</v>
      </c>
    </row>
    <row r="92" spans="6:26" ht="60" customHeight="1" x14ac:dyDescent="0.2">
      <c r="F92" s="50">
        <f>+F91+1</f>
        <v>30201</v>
      </c>
      <c r="G92" s="53" t="s">
        <v>70</v>
      </c>
      <c r="H92" s="52"/>
      <c r="I92" s="52">
        <v>1500000</v>
      </c>
      <c r="J92" s="52"/>
      <c r="K92" s="52"/>
      <c r="L92" s="52"/>
      <c r="M92" s="52"/>
      <c r="N92" s="52">
        <f>I92</f>
        <v>1500000</v>
      </c>
      <c r="O92" s="7">
        <f t="shared" ref="O92:O102" si="30">SUM(K92:N92)</f>
        <v>1500000</v>
      </c>
      <c r="P92" s="5"/>
      <c r="Q92" s="5"/>
      <c r="R92" s="5"/>
      <c r="S92" s="5"/>
      <c r="T92" s="5"/>
      <c r="U92" s="5"/>
      <c r="V92" s="5"/>
      <c r="W92" s="5">
        <f t="shared" ref="W92:W101" si="31">V92+U92+T92+S92</f>
        <v>0</v>
      </c>
      <c r="X92" s="6">
        <f t="shared" si="18"/>
        <v>0</v>
      </c>
      <c r="Z92" s="30">
        <f t="shared" si="23"/>
        <v>0</v>
      </c>
    </row>
    <row r="93" spans="6:26" ht="60" customHeight="1" x14ac:dyDescent="0.2">
      <c r="F93" s="50">
        <f t="shared" ref="F93:F102" si="32">+F92+1</f>
        <v>30202</v>
      </c>
      <c r="G93" s="53" t="s">
        <v>71</v>
      </c>
      <c r="H93" s="52">
        <f>2200000-I93</f>
        <v>700000</v>
      </c>
      <c r="I93" s="52">
        <v>1500000</v>
      </c>
      <c r="J93" s="52">
        <v>1000000</v>
      </c>
      <c r="K93" s="52"/>
      <c r="L93" s="52"/>
      <c r="M93" s="52"/>
      <c r="N93" s="52">
        <f>I93-J93</f>
        <v>500000</v>
      </c>
      <c r="O93" s="7">
        <f t="shared" si="30"/>
        <v>500000</v>
      </c>
      <c r="P93" s="5"/>
      <c r="Q93" s="5"/>
      <c r="R93" s="5"/>
      <c r="S93" s="5"/>
      <c r="T93" s="5"/>
      <c r="U93" s="5"/>
      <c r="V93" s="5"/>
      <c r="W93" s="5">
        <f t="shared" si="31"/>
        <v>0</v>
      </c>
      <c r="X93" s="6">
        <f t="shared" si="18"/>
        <v>0</v>
      </c>
      <c r="Z93" s="30">
        <f t="shared" si="23"/>
        <v>0</v>
      </c>
    </row>
    <row r="94" spans="6:26" ht="60" customHeight="1" x14ac:dyDescent="0.2">
      <c r="F94" s="50">
        <f t="shared" si="32"/>
        <v>30203</v>
      </c>
      <c r="G94" s="53" t="s">
        <v>72</v>
      </c>
      <c r="H94" s="52"/>
      <c r="I94" s="52">
        <v>170000</v>
      </c>
      <c r="J94" s="52"/>
      <c r="K94" s="52"/>
      <c r="L94" s="52"/>
      <c r="M94" s="52">
        <f>I94</f>
        <v>170000</v>
      </c>
      <c r="N94" s="52"/>
      <c r="O94" s="7">
        <f t="shared" si="30"/>
        <v>170000</v>
      </c>
      <c r="P94" s="5"/>
      <c r="Q94" s="5"/>
      <c r="R94" s="5"/>
      <c r="S94" s="5"/>
      <c r="T94" s="5"/>
      <c r="U94" s="5"/>
      <c r="V94" s="5"/>
      <c r="W94" s="5">
        <f t="shared" si="31"/>
        <v>0</v>
      </c>
      <c r="X94" s="6">
        <f t="shared" si="18"/>
        <v>0</v>
      </c>
      <c r="Z94" s="30">
        <f t="shared" si="23"/>
        <v>0</v>
      </c>
    </row>
    <row r="95" spans="6:26" ht="60" customHeight="1" x14ac:dyDescent="0.2">
      <c r="F95" s="50">
        <f t="shared" si="32"/>
        <v>30204</v>
      </c>
      <c r="G95" s="53" t="s">
        <v>73</v>
      </c>
      <c r="H95" s="52"/>
      <c r="I95" s="52">
        <v>300000</v>
      </c>
      <c r="J95" s="52"/>
      <c r="K95" s="52"/>
      <c r="L95" s="52"/>
      <c r="M95" s="52">
        <f>I95</f>
        <v>300000</v>
      </c>
      <c r="N95" s="52"/>
      <c r="O95" s="7">
        <f t="shared" si="30"/>
        <v>300000</v>
      </c>
      <c r="P95" s="5"/>
      <c r="Q95" s="5"/>
      <c r="R95" s="5"/>
      <c r="S95" s="5"/>
      <c r="T95" s="5"/>
      <c r="U95" s="5"/>
      <c r="V95" s="5"/>
      <c r="W95" s="5">
        <f t="shared" si="31"/>
        <v>0</v>
      </c>
      <c r="X95" s="6">
        <f t="shared" si="18"/>
        <v>0</v>
      </c>
      <c r="Z95" s="30">
        <f t="shared" si="23"/>
        <v>0</v>
      </c>
    </row>
    <row r="96" spans="6:26" ht="60" customHeight="1" x14ac:dyDescent="0.2">
      <c r="F96" s="50">
        <f t="shared" si="32"/>
        <v>30205</v>
      </c>
      <c r="G96" s="53" t="s">
        <v>74</v>
      </c>
      <c r="H96" s="52"/>
      <c r="I96" s="52">
        <v>500000</v>
      </c>
      <c r="J96" s="52"/>
      <c r="K96" s="52"/>
      <c r="L96" s="52"/>
      <c r="M96" s="52"/>
      <c r="N96" s="52">
        <f>I96</f>
        <v>500000</v>
      </c>
      <c r="O96" s="7">
        <f t="shared" si="30"/>
        <v>500000</v>
      </c>
      <c r="P96" s="5"/>
      <c r="Q96" s="5"/>
      <c r="R96" s="5"/>
      <c r="S96" s="5"/>
      <c r="T96" s="5"/>
      <c r="U96" s="5"/>
      <c r="V96" s="5"/>
      <c r="W96" s="5">
        <f t="shared" si="31"/>
        <v>0</v>
      </c>
      <c r="X96" s="6">
        <f t="shared" si="18"/>
        <v>0</v>
      </c>
      <c r="Z96" s="30">
        <f t="shared" si="23"/>
        <v>0</v>
      </c>
    </row>
    <row r="97" spans="6:26" ht="60" customHeight="1" x14ac:dyDescent="0.2">
      <c r="F97" s="50">
        <f t="shared" si="32"/>
        <v>30206</v>
      </c>
      <c r="G97" s="53" t="s">
        <v>75</v>
      </c>
      <c r="H97" s="52"/>
      <c r="I97" s="52">
        <v>750000</v>
      </c>
      <c r="J97" s="52"/>
      <c r="K97" s="52"/>
      <c r="L97" s="52"/>
      <c r="M97" s="52"/>
      <c r="N97" s="52">
        <f>I97</f>
        <v>750000</v>
      </c>
      <c r="O97" s="7">
        <f t="shared" si="30"/>
        <v>750000</v>
      </c>
      <c r="P97" s="5"/>
      <c r="Q97" s="5"/>
      <c r="R97" s="5"/>
      <c r="S97" s="5"/>
      <c r="T97" s="5"/>
      <c r="U97" s="5"/>
      <c r="V97" s="5"/>
      <c r="W97" s="5">
        <f t="shared" si="31"/>
        <v>0</v>
      </c>
      <c r="X97" s="6">
        <f t="shared" si="18"/>
        <v>0</v>
      </c>
      <c r="Z97" s="30">
        <f t="shared" si="23"/>
        <v>0</v>
      </c>
    </row>
    <row r="98" spans="6:26" ht="60" customHeight="1" x14ac:dyDescent="0.2">
      <c r="F98" s="50">
        <f t="shared" si="32"/>
        <v>30207</v>
      </c>
      <c r="G98" s="53" t="s">
        <v>76</v>
      </c>
      <c r="H98" s="52"/>
      <c r="I98" s="52">
        <v>450000</v>
      </c>
      <c r="J98" s="52"/>
      <c r="K98" s="52"/>
      <c r="L98" s="52"/>
      <c r="M98" s="52">
        <f>I98</f>
        <v>450000</v>
      </c>
      <c r="N98" s="52"/>
      <c r="O98" s="7">
        <f t="shared" si="30"/>
        <v>450000</v>
      </c>
      <c r="P98" s="5"/>
      <c r="Q98" s="5"/>
      <c r="R98" s="5"/>
      <c r="S98" s="5"/>
      <c r="T98" s="5"/>
      <c r="U98" s="5"/>
      <c r="V98" s="5"/>
      <c r="W98" s="5">
        <f t="shared" si="31"/>
        <v>0</v>
      </c>
      <c r="X98" s="6">
        <f t="shared" si="18"/>
        <v>0</v>
      </c>
      <c r="Z98" s="30">
        <f t="shared" si="23"/>
        <v>0</v>
      </c>
    </row>
    <row r="99" spans="6:26" ht="60" customHeight="1" x14ac:dyDescent="0.2">
      <c r="F99" s="50">
        <f t="shared" si="32"/>
        <v>30208</v>
      </c>
      <c r="G99" s="53" t="s">
        <v>310</v>
      </c>
      <c r="H99" s="52"/>
      <c r="I99" s="52">
        <v>500000</v>
      </c>
      <c r="J99" s="52"/>
      <c r="K99" s="52"/>
      <c r="L99" s="52"/>
      <c r="M99" s="52"/>
      <c r="N99" s="52">
        <f>I99</f>
        <v>500000</v>
      </c>
      <c r="O99" s="7">
        <f t="shared" si="30"/>
        <v>500000</v>
      </c>
      <c r="P99" s="5"/>
      <c r="Q99" s="5"/>
      <c r="R99" s="5"/>
      <c r="S99" s="5"/>
      <c r="T99" s="5"/>
      <c r="U99" s="5"/>
      <c r="V99" s="5"/>
      <c r="W99" s="5">
        <f t="shared" si="31"/>
        <v>0</v>
      </c>
      <c r="X99" s="6">
        <f t="shared" si="18"/>
        <v>0</v>
      </c>
      <c r="Z99" s="30">
        <f t="shared" si="23"/>
        <v>0</v>
      </c>
    </row>
    <row r="100" spans="6:26" ht="60" customHeight="1" x14ac:dyDescent="0.2">
      <c r="F100" s="50">
        <f t="shared" si="32"/>
        <v>30209</v>
      </c>
      <c r="G100" s="53" t="s">
        <v>311</v>
      </c>
      <c r="H100" s="52"/>
      <c r="I100" s="52">
        <v>500000</v>
      </c>
      <c r="J100" s="52"/>
      <c r="K100" s="52"/>
      <c r="L100" s="52"/>
      <c r="M100" s="52"/>
      <c r="N100" s="52">
        <f>I100</f>
        <v>500000</v>
      </c>
      <c r="O100" s="7">
        <f t="shared" si="30"/>
        <v>500000</v>
      </c>
      <c r="P100" s="5"/>
      <c r="Q100" s="5"/>
      <c r="R100" s="5"/>
      <c r="S100" s="5"/>
      <c r="T100" s="5"/>
      <c r="U100" s="5"/>
      <c r="V100" s="5"/>
      <c r="W100" s="5">
        <f t="shared" si="31"/>
        <v>0</v>
      </c>
      <c r="X100" s="6">
        <f t="shared" si="18"/>
        <v>0</v>
      </c>
      <c r="Z100" s="30">
        <f t="shared" si="23"/>
        <v>0</v>
      </c>
    </row>
    <row r="101" spans="6:26" ht="60" customHeight="1" x14ac:dyDescent="0.2">
      <c r="F101" s="50">
        <f t="shared" si="32"/>
        <v>30210</v>
      </c>
      <c r="G101" s="53" t="s">
        <v>339</v>
      </c>
      <c r="H101" s="52"/>
      <c r="I101" s="52">
        <v>500000</v>
      </c>
      <c r="J101" s="52"/>
      <c r="K101" s="52"/>
      <c r="L101" s="52"/>
      <c r="M101" s="52"/>
      <c r="N101" s="52">
        <f>I101</f>
        <v>500000</v>
      </c>
      <c r="O101" s="7">
        <f t="shared" si="30"/>
        <v>500000</v>
      </c>
      <c r="P101" s="5"/>
      <c r="Q101" s="5"/>
      <c r="R101" s="5"/>
      <c r="S101" s="5"/>
      <c r="T101" s="5"/>
      <c r="U101" s="5"/>
      <c r="V101" s="5"/>
      <c r="W101" s="5">
        <f t="shared" si="31"/>
        <v>0</v>
      </c>
      <c r="X101" s="6"/>
      <c r="Z101" s="30">
        <f t="shared" si="23"/>
        <v>0</v>
      </c>
    </row>
    <row r="102" spans="6:26" ht="60" customHeight="1" x14ac:dyDescent="0.2">
      <c r="F102" s="50">
        <f t="shared" si="32"/>
        <v>30211</v>
      </c>
      <c r="G102" s="53" t="s">
        <v>475</v>
      </c>
      <c r="H102" s="52"/>
      <c r="I102" s="52">
        <v>150000</v>
      </c>
      <c r="J102" s="52"/>
      <c r="K102" s="52"/>
      <c r="L102" s="52"/>
      <c r="M102" s="52">
        <f>I102/2</f>
        <v>75000</v>
      </c>
      <c r="N102" s="52">
        <f>I102-M102</f>
        <v>75000</v>
      </c>
      <c r="O102" s="7">
        <f t="shared" si="30"/>
        <v>150000</v>
      </c>
      <c r="P102" s="5"/>
      <c r="Q102" s="5"/>
      <c r="R102" s="5"/>
      <c r="S102" s="5"/>
      <c r="T102" s="5"/>
      <c r="U102" s="5"/>
      <c r="V102" s="5"/>
      <c r="W102" s="5"/>
      <c r="X102" s="6"/>
      <c r="Z102" s="30">
        <f t="shared" si="23"/>
        <v>0</v>
      </c>
    </row>
    <row r="103" spans="6:26" ht="60" customHeight="1" x14ac:dyDescent="0.2">
      <c r="F103" s="58"/>
      <c r="G103" s="56" t="s">
        <v>77</v>
      </c>
      <c r="H103" s="57">
        <f t="shared" ref="H103:W103" si="33">SUM(H92:H102)</f>
        <v>700000</v>
      </c>
      <c r="I103" s="57">
        <f t="shared" si="33"/>
        <v>6820000</v>
      </c>
      <c r="J103" s="57">
        <f t="shared" si="33"/>
        <v>1000000</v>
      </c>
      <c r="K103" s="57">
        <f t="shared" si="33"/>
        <v>0</v>
      </c>
      <c r="L103" s="57">
        <f t="shared" si="33"/>
        <v>0</v>
      </c>
      <c r="M103" s="57">
        <f t="shared" si="33"/>
        <v>995000</v>
      </c>
      <c r="N103" s="57">
        <f t="shared" si="33"/>
        <v>4825000</v>
      </c>
      <c r="O103" s="6">
        <f t="shared" si="33"/>
        <v>5820000</v>
      </c>
      <c r="P103" s="6">
        <f t="shared" si="33"/>
        <v>0</v>
      </c>
      <c r="Q103" s="6">
        <f t="shared" si="33"/>
        <v>0</v>
      </c>
      <c r="R103" s="6">
        <f t="shared" si="33"/>
        <v>0</v>
      </c>
      <c r="S103" s="6">
        <f t="shared" si="33"/>
        <v>0</v>
      </c>
      <c r="T103" s="6">
        <f t="shared" si="33"/>
        <v>0</v>
      </c>
      <c r="U103" s="6">
        <f t="shared" si="33"/>
        <v>0</v>
      </c>
      <c r="V103" s="6">
        <f t="shared" si="33"/>
        <v>0</v>
      </c>
      <c r="W103" s="6">
        <f t="shared" si="33"/>
        <v>0</v>
      </c>
      <c r="X103" s="6">
        <f t="shared" si="18"/>
        <v>0</v>
      </c>
      <c r="Z103" s="30">
        <f t="shared" si="23"/>
        <v>0</v>
      </c>
    </row>
    <row r="104" spans="6:26" ht="60" customHeight="1" x14ac:dyDescent="0.2">
      <c r="F104" s="50">
        <v>30300</v>
      </c>
      <c r="G104" s="51" t="s">
        <v>78</v>
      </c>
      <c r="H104" s="52"/>
      <c r="I104" s="52"/>
      <c r="J104" s="52"/>
      <c r="K104" s="52"/>
      <c r="L104" s="52"/>
      <c r="M104" s="52"/>
      <c r="N104" s="52"/>
      <c r="O104" s="5"/>
      <c r="P104" s="5"/>
      <c r="Q104" s="5"/>
      <c r="R104" s="5"/>
      <c r="S104" s="5"/>
      <c r="T104" s="5"/>
      <c r="U104" s="5"/>
      <c r="V104" s="5"/>
      <c r="W104" s="5"/>
      <c r="X104" s="6">
        <f t="shared" si="18"/>
        <v>0</v>
      </c>
      <c r="Z104" s="30">
        <f t="shared" si="23"/>
        <v>0</v>
      </c>
    </row>
    <row r="105" spans="6:26" ht="60" customHeight="1" x14ac:dyDescent="0.2">
      <c r="F105" s="50">
        <f t="shared" ref="F105:F127" si="34">+F104+1</f>
        <v>30301</v>
      </c>
      <c r="G105" s="53" t="s">
        <v>79</v>
      </c>
      <c r="H105" s="52"/>
      <c r="I105" s="52">
        <v>2400000</v>
      </c>
      <c r="J105" s="52">
        <v>900000</v>
      </c>
      <c r="K105" s="52"/>
      <c r="L105" s="52"/>
      <c r="M105" s="52"/>
      <c r="N105" s="52">
        <f>I105-J105</f>
        <v>1500000</v>
      </c>
      <c r="O105" s="7">
        <f t="shared" ref="O105:O127" si="35">SUM(K105:N105)</f>
        <v>1500000</v>
      </c>
      <c r="P105" s="8"/>
      <c r="Q105" s="5"/>
      <c r="R105" s="8"/>
      <c r="S105" s="8"/>
      <c r="T105" s="8"/>
      <c r="U105" s="8"/>
      <c r="V105" s="8"/>
      <c r="W105" s="5">
        <f t="shared" ref="W105:W121" si="36">V105+U105+T105+S105</f>
        <v>0</v>
      </c>
      <c r="X105" s="6">
        <f t="shared" si="18"/>
        <v>0</v>
      </c>
      <c r="Z105" s="30">
        <f t="shared" si="23"/>
        <v>0</v>
      </c>
    </row>
    <row r="106" spans="6:26" ht="60" customHeight="1" x14ac:dyDescent="0.2">
      <c r="F106" s="50">
        <f t="shared" si="34"/>
        <v>30302</v>
      </c>
      <c r="G106" s="53" t="s">
        <v>80</v>
      </c>
      <c r="H106" s="52"/>
      <c r="I106" s="52">
        <v>500000</v>
      </c>
      <c r="J106" s="52">
        <f>I106</f>
        <v>500000</v>
      </c>
      <c r="K106" s="52"/>
      <c r="L106" s="52"/>
      <c r="M106" s="52"/>
      <c r="N106" s="52"/>
      <c r="O106" s="7">
        <f t="shared" si="35"/>
        <v>0</v>
      </c>
      <c r="P106" s="8"/>
      <c r="Q106" s="5"/>
      <c r="R106" s="8"/>
      <c r="S106" s="8"/>
      <c r="T106" s="8"/>
      <c r="U106" s="8"/>
      <c r="V106" s="8"/>
      <c r="W106" s="5">
        <f t="shared" si="36"/>
        <v>0</v>
      </c>
      <c r="X106" s="6">
        <f t="shared" ref="X106:X143" si="37">Q106-R106-W106</f>
        <v>0</v>
      </c>
      <c r="Z106" s="30">
        <f t="shared" si="23"/>
        <v>0</v>
      </c>
    </row>
    <row r="107" spans="6:26" ht="60" customHeight="1" x14ac:dyDescent="0.2">
      <c r="F107" s="50">
        <f t="shared" si="34"/>
        <v>30303</v>
      </c>
      <c r="G107" s="53" t="s">
        <v>81</v>
      </c>
      <c r="H107" s="52"/>
      <c r="I107" s="52">
        <v>600000</v>
      </c>
      <c r="J107" s="52">
        <f>I107</f>
        <v>600000</v>
      </c>
      <c r="K107" s="52"/>
      <c r="L107" s="52"/>
      <c r="M107" s="52"/>
      <c r="N107" s="52"/>
      <c r="O107" s="7">
        <f t="shared" si="35"/>
        <v>0</v>
      </c>
      <c r="P107" s="5"/>
      <c r="Q107" s="5"/>
      <c r="R107" s="8"/>
      <c r="S107" s="5"/>
      <c r="T107" s="5"/>
      <c r="U107" s="5"/>
      <c r="V107" s="5"/>
      <c r="W107" s="5">
        <f t="shared" si="36"/>
        <v>0</v>
      </c>
      <c r="X107" s="6">
        <f t="shared" si="37"/>
        <v>0</v>
      </c>
      <c r="Z107" s="30">
        <f t="shared" si="23"/>
        <v>0</v>
      </c>
    </row>
    <row r="108" spans="6:26" ht="60" customHeight="1" x14ac:dyDescent="0.2">
      <c r="F108" s="50">
        <f t="shared" si="34"/>
        <v>30304</v>
      </c>
      <c r="G108" s="53" t="s">
        <v>82</v>
      </c>
      <c r="H108" s="52"/>
      <c r="I108" s="52">
        <v>2600000</v>
      </c>
      <c r="J108" s="52"/>
      <c r="K108" s="52"/>
      <c r="L108" s="52"/>
      <c r="M108" s="52">
        <v>1000000</v>
      </c>
      <c r="N108" s="52">
        <f>I108-M108</f>
        <v>1600000</v>
      </c>
      <c r="O108" s="7">
        <f t="shared" si="35"/>
        <v>2600000</v>
      </c>
      <c r="P108" s="5"/>
      <c r="Q108" s="5"/>
      <c r="R108" s="5"/>
      <c r="S108" s="5"/>
      <c r="T108" s="5"/>
      <c r="U108" s="5"/>
      <c r="V108" s="5"/>
      <c r="W108" s="5">
        <f t="shared" si="36"/>
        <v>0</v>
      </c>
      <c r="X108" s="6">
        <f t="shared" si="37"/>
        <v>0</v>
      </c>
      <c r="Z108" s="30">
        <f t="shared" si="23"/>
        <v>0</v>
      </c>
    </row>
    <row r="109" spans="6:26" ht="60" customHeight="1" x14ac:dyDescent="0.2">
      <c r="F109" s="50">
        <f t="shared" si="34"/>
        <v>30305</v>
      </c>
      <c r="G109" s="53" t="s">
        <v>83</v>
      </c>
      <c r="H109" s="52"/>
      <c r="I109" s="52">
        <v>1500000</v>
      </c>
      <c r="J109" s="52"/>
      <c r="K109" s="52"/>
      <c r="L109" s="52"/>
      <c r="M109" s="52">
        <v>500000</v>
      </c>
      <c r="N109" s="52">
        <f>I109-M109</f>
        <v>1000000</v>
      </c>
      <c r="O109" s="7">
        <f t="shared" si="35"/>
        <v>1500000</v>
      </c>
      <c r="P109" s="5"/>
      <c r="Q109" s="5"/>
      <c r="R109" s="5"/>
      <c r="S109" s="5"/>
      <c r="T109" s="5"/>
      <c r="U109" s="5"/>
      <c r="V109" s="5"/>
      <c r="W109" s="5">
        <f t="shared" si="36"/>
        <v>0</v>
      </c>
      <c r="X109" s="6">
        <f t="shared" si="37"/>
        <v>0</v>
      </c>
      <c r="Z109" s="30">
        <f t="shared" si="23"/>
        <v>0</v>
      </c>
    </row>
    <row r="110" spans="6:26" ht="60" customHeight="1" x14ac:dyDescent="0.2">
      <c r="F110" s="50">
        <f t="shared" si="34"/>
        <v>30306</v>
      </c>
      <c r="G110" s="53" t="s">
        <v>84</v>
      </c>
      <c r="H110" s="52"/>
      <c r="I110" s="52">
        <v>300000</v>
      </c>
      <c r="J110" s="52"/>
      <c r="K110" s="52"/>
      <c r="L110" s="52"/>
      <c r="M110" s="52">
        <f>I110</f>
        <v>300000</v>
      </c>
      <c r="N110" s="52"/>
      <c r="O110" s="7">
        <f t="shared" si="35"/>
        <v>300000</v>
      </c>
      <c r="P110" s="5"/>
      <c r="Q110" s="5"/>
      <c r="R110" s="5"/>
      <c r="S110" s="5"/>
      <c r="T110" s="5"/>
      <c r="U110" s="5"/>
      <c r="V110" s="5"/>
      <c r="W110" s="5">
        <f t="shared" si="36"/>
        <v>0</v>
      </c>
      <c r="X110" s="6">
        <f t="shared" si="37"/>
        <v>0</v>
      </c>
      <c r="Z110" s="30">
        <f t="shared" si="23"/>
        <v>0</v>
      </c>
    </row>
    <row r="111" spans="6:26" ht="60" customHeight="1" x14ac:dyDescent="0.2">
      <c r="F111" s="50">
        <f t="shared" si="34"/>
        <v>30307</v>
      </c>
      <c r="G111" s="53" t="s">
        <v>85</v>
      </c>
      <c r="H111" s="52"/>
      <c r="I111" s="52">
        <v>300000</v>
      </c>
      <c r="J111" s="52"/>
      <c r="K111" s="52"/>
      <c r="L111" s="52"/>
      <c r="M111" s="52"/>
      <c r="N111" s="52">
        <f>I111</f>
        <v>300000</v>
      </c>
      <c r="O111" s="7">
        <f t="shared" si="35"/>
        <v>300000</v>
      </c>
      <c r="P111" s="5"/>
      <c r="Q111" s="5"/>
      <c r="R111" s="5"/>
      <c r="S111" s="5"/>
      <c r="T111" s="5"/>
      <c r="U111" s="5"/>
      <c r="V111" s="5"/>
      <c r="W111" s="5">
        <f t="shared" si="36"/>
        <v>0</v>
      </c>
      <c r="X111" s="6">
        <f t="shared" si="37"/>
        <v>0</v>
      </c>
      <c r="Z111" s="30">
        <f t="shared" si="23"/>
        <v>0</v>
      </c>
    </row>
    <row r="112" spans="6:26" ht="60" customHeight="1" x14ac:dyDescent="0.2">
      <c r="F112" s="50">
        <f t="shared" si="34"/>
        <v>30308</v>
      </c>
      <c r="G112" s="53" t="s">
        <v>412</v>
      </c>
      <c r="H112" s="52"/>
      <c r="I112" s="52">
        <v>650000</v>
      </c>
      <c r="J112" s="52"/>
      <c r="K112" s="52"/>
      <c r="L112" s="52"/>
      <c r="M112" s="52">
        <f>I112</f>
        <v>650000</v>
      </c>
      <c r="N112" s="52"/>
      <c r="O112" s="7">
        <f t="shared" si="35"/>
        <v>650000</v>
      </c>
      <c r="P112" s="5"/>
      <c r="Q112" s="5"/>
      <c r="R112" s="5"/>
      <c r="S112" s="5"/>
      <c r="T112" s="5"/>
      <c r="U112" s="5"/>
      <c r="V112" s="5"/>
      <c r="W112" s="5">
        <f t="shared" si="36"/>
        <v>0</v>
      </c>
      <c r="X112" s="6">
        <f t="shared" si="37"/>
        <v>0</v>
      </c>
      <c r="Z112" s="30">
        <f t="shared" si="23"/>
        <v>0</v>
      </c>
    </row>
    <row r="113" spans="6:26" ht="60" customHeight="1" x14ac:dyDescent="0.2">
      <c r="F113" s="50">
        <f t="shared" si="34"/>
        <v>30309</v>
      </c>
      <c r="G113" s="53" t="s">
        <v>86</v>
      </c>
      <c r="H113" s="52"/>
      <c r="I113" s="52">
        <v>200000</v>
      </c>
      <c r="J113" s="52"/>
      <c r="K113" s="52"/>
      <c r="L113" s="52"/>
      <c r="M113" s="52"/>
      <c r="N113" s="52">
        <f>I113</f>
        <v>200000</v>
      </c>
      <c r="O113" s="7">
        <f t="shared" si="35"/>
        <v>200000</v>
      </c>
      <c r="P113" s="5"/>
      <c r="Q113" s="5"/>
      <c r="R113" s="5"/>
      <c r="S113" s="5"/>
      <c r="T113" s="5"/>
      <c r="U113" s="5"/>
      <c r="V113" s="5"/>
      <c r="W113" s="5">
        <f t="shared" si="36"/>
        <v>0</v>
      </c>
      <c r="X113" s="6">
        <f t="shared" si="37"/>
        <v>0</v>
      </c>
      <c r="Z113" s="30">
        <f t="shared" si="23"/>
        <v>0</v>
      </c>
    </row>
    <row r="114" spans="6:26" ht="60" customHeight="1" x14ac:dyDescent="0.2">
      <c r="F114" s="50">
        <f t="shared" si="34"/>
        <v>30310</v>
      </c>
      <c r="G114" s="53" t="s">
        <v>87</v>
      </c>
      <c r="H114" s="52"/>
      <c r="I114" s="52">
        <v>300000</v>
      </c>
      <c r="J114" s="52"/>
      <c r="K114" s="52"/>
      <c r="L114" s="52"/>
      <c r="M114" s="52">
        <f>I114</f>
        <v>300000</v>
      </c>
      <c r="N114" s="52"/>
      <c r="O114" s="7">
        <f t="shared" si="35"/>
        <v>300000</v>
      </c>
      <c r="P114" s="5"/>
      <c r="Q114" s="5"/>
      <c r="R114" s="5"/>
      <c r="S114" s="5"/>
      <c r="T114" s="5"/>
      <c r="U114" s="5"/>
      <c r="V114" s="5"/>
      <c r="W114" s="5">
        <f t="shared" si="36"/>
        <v>0</v>
      </c>
      <c r="X114" s="6">
        <f t="shared" si="37"/>
        <v>0</v>
      </c>
      <c r="Z114" s="30">
        <f t="shared" si="23"/>
        <v>0</v>
      </c>
    </row>
    <row r="115" spans="6:26" ht="60" customHeight="1" x14ac:dyDescent="0.2">
      <c r="F115" s="50">
        <f t="shared" si="34"/>
        <v>30311</v>
      </c>
      <c r="G115" s="53" t="s">
        <v>413</v>
      </c>
      <c r="H115" s="52">
        <v>500000</v>
      </c>
      <c r="I115" s="52"/>
      <c r="J115" s="52"/>
      <c r="K115" s="52"/>
      <c r="L115" s="52"/>
      <c r="M115" s="52"/>
      <c r="N115" s="52"/>
      <c r="O115" s="7">
        <f t="shared" si="35"/>
        <v>0</v>
      </c>
      <c r="P115" s="5"/>
      <c r="Q115" s="5"/>
      <c r="R115" s="5"/>
      <c r="S115" s="5"/>
      <c r="T115" s="5"/>
      <c r="U115" s="5"/>
      <c r="V115" s="5"/>
      <c r="W115" s="5"/>
      <c r="X115" s="6"/>
      <c r="Z115" s="30">
        <f t="shared" si="23"/>
        <v>0</v>
      </c>
    </row>
    <row r="116" spans="6:26" ht="76.5" x14ac:dyDescent="0.2">
      <c r="F116" s="50">
        <f>+F115+1</f>
        <v>30312</v>
      </c>
      <c r="G116" s="53" t="s">
        <v>88</v>
      </c>
      <c r="H116" s="52">
        <f>1000000-I116</f>
        <v>300000</v>
      </c>
      <c r="I116" s="52">
        <v>700000</v>
      </c>
      <c r="J116" s="52"/>
      <c r="K116" s="52"/>
      <c r="L116" s="52"/>
      <c r="M116" s="52">
        <f>I116/2</f>
        <v>350000</v>
      </c>
      <c r="N116" s="52">
        <f>I116-M116</f>
        <v>350000</v>
      </c>
      <c r="O116" s="7">
        <f t="shared" si="35"/>
        <v>700000</v>
      </c>
      <c r="P116" s="5"/>
      <c r="Q116" s="5"/>
      <c r="R116" s="5"/>
      <c r="S116" s="5"/>
      <c r="T116" s="5"/>
      <c r="U116" s="5"/>
      <c r="V116" s="5"/>
      <c r="W116" s="5">
        <f t="shared" si="36"/>
        <v>0</v>
      </c>
      <c r="X116" s="6">
        <f t="shared" si="37"/>
        <v>0</v>
      </c>
      <c r="Z116" s="30">
        <f t="shared" si="23"/>
        <v>0</v>
      </c>
    </row>
    <row r="117" spans="6:26" ht="60" customHeight="1" x14ac:dyDescent="0.2">
      <c r="F117" s="50">
        <f t="shared" si="34"/>
        <v>30313</v>
      </c>
      <c r="G117" s="53" t="s">
        <v>353</v>
      </c>
      <c r="H117" s="52">
        <f>950000-I117</f>
        <v>250000</v>
      </c>
      <c r="I117" s="52">
        <v>700000</v>
      </c>
      <c r="J117" s="52"/>
      <c r="K117" s="52"/>
      <c r="L117" s="52"/>
      <c r="M117" s="52">
        <f>I117</f>
        <v>700000</v>
      </c>
      <c r="N117" s="52"/>
      <c r="O117" s="7">
        <f t="shared" si="35"/>
        <v>700000</v>
      </c>
      <c r="P117" s="5"/>
      <c r="Q117" s="5"/>
      <c r="R117" s="5"/>
      <c r="S117" s="5"/>
      <c r="T117" s="5"/>
      <c r="U117" s="5"/>
      <c r="V117" s="5"/>
      <c r="W117" s="5">
        <f t="shared" si="36"/>
        <v>0</v>
      </c>
      <c r="X117" s="6">
        <f t="shared" si="37"/>
        <v>0</v>
      </c>
      <c r="Z117" s="30">
        <f t="shared" si="23"/>
        <v>0</v>
      </c>
    </row>
    <row r="118" spans="6:26" ht="60" customHeight="1" x14ac:dyDescent="0.2">
      <c r="F118" s="50">
        <f t="shared" si="34"/>
        <v>30314</v>
      </c>
      <c r="G118" s="53" t="s">
        <v>89</v>
      </c>
      <c r="H118" s="52"/>
      <c r="I118" s="52">
        <v>550000</v>
      </c>
      <c r="J118" s="52"/>
      <c r="K118" s="52"/>
      <c r="L118" s="52"/>
      <c r="M118" s="52"/>
      <c r="N118" s="52">
        <f>I118</f>
        <v>550000</v>
      </c>
      <c r="O118" s="7">
        <f t="shared" si="35"/>
        <v>550000</v>
      </c>
      <c r="P118" s="5"/>
      <c r="Q118" s="5"/>
      <c r="R118" s="5"/>
      <c r="S118" s="5"/>
      <c r="T118" s="5"/>
      <c r="U118" s="5"/>
      <c r="V118" s="5"/>
      <c r="W118" s="5">
        <f t="shared" si="36"/>
        <v>0</v>
      </c>
      <c r="X118" s="6">
        <f t="shared" si="37"/>
        <v>0</v>
      </c>
      <c r="Z118" s="30">
        <f t="shared" si="23"/>
        <v>0</v>
      </c>
    </row>
    <row r="119" spans="6:26" ht="60" customHeight="1" x14ac:dyDescent="0.2">
      <c r="F119" s="50">
        <f t="shared" si="34"/>
        <v>30315</v>
      </c>
      <c r="G119" s="53" t="s">
        <v>90</v>
      </c>
      <c r="H119" s="52"/>
      <c r="I119" s="52">
        <v>110000</v>
      </c>
      <c r="J119" s="52"/>
      <c r="K119" s="52"/>
      <c r="L119" s="52"/>
      <c r="M119" s="52">
        <f>I119</f>
        <v>110000</v>
      </c>
      <c r="N119" s="52"/>
      <c r="O119" s="7">
        <f t="shared" si="35"/>
        <v>110000</v>
      </c>
      <c r="P119" s="5"/>
      <c r="Q119" s="5"/>
      <c r="R119" s="5"/>
      <c r="S119" s="5"/>
      <c r="T119" s="5"/>
      <c r="U119" s="5"/>
      <c r="V119" s="5"/>
      <c r="W119" s="5">
        <f t="shared" si="36"/>
        <v>0</v>
      </c>
      <c r="X119" s="6">
        <f t="shared" si="37"/>
        <v>0</v>
      </c>
      <c r="Z119" s="30">
        <f t="shared" si="23"/>
        <v>0</v>
      </c>
    </row>
    <row r="120" spans="6:26" ht="60" customHeight="1" x14ac:dyDescent="0.2">
      <c r="F120" s="50">
        <f t="shared" si="34"/>
        <v>30316</v>
      </c>
      <c r="G120" s="53" t="s">
        <v>91</v>
      </c>
      <c r="H120" s="52"/>
      <c r="I120" s="52">
        <v>500000</v>
      </c>
      <c r="J120" s="52"/>
      <c r="K120" s="52"/>
      <c r="L120" s="52"/>
      <c r="M120" s="52">
        <f>I120/2</f>
        <v>250000</v>
      </c>
      <c r="N120" s="52">
        <f>I120-M120</f>
        <v>250000</v>
      </c>
      <c r="O120" s="7">
        <f t="shared" si="35"/>
        <v>500000</v>
      </c>
      <c r="P120" s="5"/>
      <c r="Q120" s="5"/>
      <c r="R120" s="5"/>
      <c r="S120" s="5"/>
      <c r="T120" s="5"/>
      <c r="U120" s="5"/>
      <c r="V120" s="5"/>
      <c r="W120" s="5">
        <f t="shared" si="36"/>
        <v>0</v>
      </c>
      <c r="X120" s="6">
        <f t="shared" si="37"/>
        <v>0</v>
      </c>
      <c r="Z120" s="30">
        <f t="shared" si="23"/>
        <v>0</v>
      </c>
    </row>
    <row r="121" spans="6:26" ht="60" customHeight="1" x14ac:dyDescent="0.2">
      <c r="F121" s="50">
        <f t="shared" si="34"/>
        <v>30317</v>
      </c>
      <c r="G121" s="53" t="s">
        <v>327</v>
      </c>
      <c r="H121" s="52"/>
      <c r="I121" s="52">
        <v>150000</v>
      </c>
      <c r="J121" s="52">
        <f>I121</f>
        <v>150000</v>
      </c>
      <c r="K121" s="52"/>
      <c r="L121" s="52"/>
      <c r="M121" s="52"/>
      <c r="N121" s="52"/>
      <c r="O121" s="7">
        <f t="shared" si="35"/>
        <v>0</v>
      </c>
      <c r="P121" s="5"/>
      <c r="Q121" s="5"/>
      <c r="R121" s="5"/>
      <c r="S121" s="5"/>
      <c r="T121" s="5"/>
      <c r="U121" s="5"/>
      <c r="V121" s="5"/>
      <c r="W121" s="5">
        <f t="shared" si="36"/>
        <v>0</v>
      </c>
      <c r="X121" s="6"/>
      <c r="Z121" s="30">
        <f t="shared" si="23"/>
        <v>0</v>
      </c>
    </row>
    <row r="122" spans="6:26" ht="60" customHeight="1" x14ac:dyDescent="0.2">
      <c r="F122" s="50">
        <f t="shared" si="34"/>
        <v>30318</v>
      </c>
      <c r="G122" s="53" t="s">
        <v>467</v>
      </c>
      <c r="H122" s="52"/>
      <c r="I122" s="52">
        <v>2000000</v>
      </c>
      <c r="J122" s="52"/>
      <c r="K122" s="52">
        <f>I122/2</f>
        <v>1000000</v>
      </c>
      <c r="L122" s="52"/>
      <c r="M122" s="52"/>
      <c r="N122" s="52">
        <f>I122-K122</f>
        <v>1000000</v>
      </c>
      <c r="O122" s="7"/>
      <c r="P122" s="5"/>
      <c r="Q122" s="5"/>
      <c r="R122" s="5"/>
      <c r="S122" s="5"/>
      <c r="T122" s="5"/>
      <c r="U122" s="5"/>
      <c r="V122" s="5"/>
      <c r="W122" s="5"/>
      <c r="X122" s="6"/>
      <c r="Z122" s="30">
        <f t="shared" si="23"/>
        <v>0</v>
      </c>
    </row>
    <row r="123" spans="6:26" ht="60" customHeight="1" x14ac:dyDescent="0.2">
      <c r="F123" s="50">
        <f t="shared" si="34"/>
        <v>30319</v>
      </c>
      <c r="G123" s="53" t="s">
        <v>415</v>
      </c>
      <c r="H123" s="52"/>
      <c r="I123" s="52">
        <v>1000000</v>
      </c>
      <c r="J123" s="52"/>
      <c r="K123" s="52"/>
      <c r="L123" s="52"/>
      <c r="M123" s="52">
        <f>I123</f>
        <v>1000000</v>
      </c>
      <c r="N123" s="52"/>
      <c r="O123" s="7">
        <f t="shared" si="35"/>
        <v>1000000</v>
      </c>
      <c r="P123" s="5"/>
      <c r="Q123" s="5"/>
      <c r="R123" s="5"/>
      <c r="S123" s="5"/>
      <c r="T123" s="5"/>
      <c r="U123" s="5"/>
      <c r="V123" s="5"/>
      <c r="W123" s="5"/>
      <c r="X123" s="6"/>
      <c r="Z123" s="30">
        <f t="shared" si="23"/>
        <v>0</v>
      </c>
    </row>
    <row r="124" spans="6:26" ht="60" customHeight="1" x14ac:dyDescent="0.2">
      <c r="F124" s="50">
        <f t="shared" si="34"/>
        <v>30320</v>
      </c>
      <c r="G124" s="53" t="s">
        <v>416</v>
      </c>
      <c r="H124" s="52"/>
      <c r="I124" s="52">
        <v>300000</v>
      </c>
      <c r="J124" s="52"/>
      <c r="K124" s="52"/>
      <c r="L124" s="52"/>
      <c r="M124" s="52">
        <f>I124</f>
        <v>300000</v>
      </c>
      <c r="N124" s="52"/>
      <c r="O124" s="7">
        <f t="shared" si="35"/>
        <v>300000</v>
      </c>
      <c r="P124" s="5"/>
      <c r="Q124" s="5"/>
      <c r="R124" s="5"/>
      <c r="S124" s="5"/>
      <c r="T124" s="5"/>
      <c r="U124" s="5"/>
      <c r="V124" s="5"/>
      <c r="W124" s="5"/>
      <c r="X124" s="6"/>
      <c r="Z124" s="30">
        <f t="shared" si="23"/>
        <v>0</v>
      </c>
    </row>
    <row r="125" spans="6:26" ht="60" customHeight="1" x14ac:dyDescent="0.2">
      <c r="F125" s="50">
        <f t="shared" si="34"/>
        <v>30321</v>
      </c>
      <c r="G125" s="53" t="s">
        <v>470</v>
      </c>
      <c r="H125" s="52"/>
      <c r="I125" s="52">
        <v>6000000</v>
      </c>
      <c r="J125" s="52">
        <v>2000000</v>
      </c>
      <c r="K125" s="52">
        <f>I125-J125</f>
        <v>4000000</v>
      </c>
      <c r="L125" s="52"/>
      <c r="M125" s="52"/>
      <c r="N125" s="52"/>
      <c r="O125" s="7"/>
      <c r="P125" s="5"/>
      <c r="Q125" s="5"/>
      <c r="R125" s="5"/>
      <c r="S125" s="5"/>
      <c r="T125" s="5"/>
      <c r="U125" s="5"/>
      <c r="V125" s="5"/>
      <c r="W125" s="5"/>
      <c r="X125" s="6"/>
      <c r="Z125" s="30">
        <f t="shared" si="23"/>
        <v>0</v>
      </c>
    </row>
    <row r="126" spans="6:26" ht="60" customHeight="1" x14ac:dyDescent="0.2">
      <c r="F126" s="50">
        <f t="shared" si="34"/>
        <v>30322</v>
      </c>
      <c r="G126" s="53" t="s">
        <v>414</v>
      </c>
      <c r="H126" s="52">
        <v>500000</v>
      </c>
      <c r="I126" s="52"/>
      <c r="J126" s="52"/>
      <c r="K126" s="52"/>
      <c r="L126" s="52"/>
      <c r="M126" s="52"/>
      <c r="N126" s="52"/>
      <c r="O126" s="7">
        <f t="shared" si="35"/>
        <v>0</v>
      </c>
      <c r="P126" s="5"/>
      <c r="Q126" s="5"/>
      <c r="R126" s="5"/>
      <c r="S126" s="5"/>
      <c r="T126" s="5"/>
      <c r="U126" s="5"/>
      <c r="V126" s="5"/>
      <c r="W126" s="5"/>
      <c r="X126" s="6"/>
      <c r="Z126" s="30">
        <f t="shared" si="23"/>
        <v>0</v>
      </c>
    </row>
    <row r="127" spans="6:26" ht="60" customHeight="1" x14ac:dyDescent="0.2">
      <c r="F127" s="50">
        <f t="shared" si="34"/>
        <v>30323</v>
      </c>
      <c r="G127" s="53" t="s">
        <v>469</v>
      </c>
      <c r="H127" s="52"/>
      <c r="I127" s="52">
        <v>3700000</v>
      </c>
      <c r="J127" s="52">
        <v>2700000</v>
      </c>
      <c r="K127" s="52"/>
      <c r="L127" s="52"/>
      <c r="M127" s="52"/>
      <c r="N127" s="52">
        <f>I127-J127</f>
        <v>1000000</v>
      </c>
      <c r="O127" s="7">
        <f t="shared" si="35"/>
        <v>1000000</v>
      </c>
      <c r="P127" s="5"/>
      <c r="Q127" s="5"/>
      <c r="R127" s="5"/>
      <c r="S127" s="5"/>
      <c r="T127" s="5"/>
      <c r="U127" s="5"/>
      <c r="V127" s="5"/>
      <c r="W127" s="5"/>
      <c r="X127" s="6"/>
      <c r="Z127" s="30">
        <f t="shared" si="23"/>
        <v>0</v>
      </c>
    </row>
    <row r="128" spans="6:26" ht="60" customHeight="1" x14ac:dyDescent="0.2">
      <c r="F128" s="58"/>
      <c r="G128" s="56" t="s">
        <v>92</v>
      </c>
      <c r="H128" s="57">
        <f t="shared" ref="H128:W128" si="38">SUM(H105:H127)</f>
        <v>1550000</v>
      </c>
      <c r="I128" s="57">
        <f t="shared" si="38"/>
        <v>25060000</v>
      </c>
      <c r="J128" s="57">
        <f t="shared" si="38"/>
        <v>6850000</v>
      </c>
      <c r="K128" s="57">
        <f t="shared" si="38"/>
        <v>5000000</v>
      </c>
      <c r="L128" s="57">
        <f t="shared" si="38"/>
        <v>0</v>
      </c>
      <c r="M128" s="57">
        <f t="shared" si="38"/>
        <v>5460000</v>
      </c>
      <c r="N128" s="57">
        <f t="shared" si="38"/>
        <v>7750000</v>
      </c>
      <c r="O128" s="6">
        <f t="shared" si="38"/>
        <v>12210000</v>
      </c>
      <c r="P128" s="6">
        <f t="shared" si="38"/>
        <v>0</v>
      </c>
      <c r="Q128" s="6">
        <f t="shared" si="38"/>
        <v>0</v>
      </c>
      <c r="R128" s="6">
        <f t="shared" si="38"/>
        <v>0</v>
      </c>
      <c r="S128" s="6">
        <f t="shared" si="38"/>
        <v>0</v>
      </c>
      <c r="T128" s="6">
        <f t="shared" si="38"/>
        <v>0</v>
      </c>
      <c r="U128" s="6">
        <f t="shared" si="38"/>
        <v>0</v>
      </c>
      <c r="V128" s="6">
        <f t="shared" si="38"/>
        <v>0</v>
      </c>
      <c r="W128" s="6">
        <f t="shared" si="38"/>
        <v>0</v>
      </c>
      <c r="X128" s="6">
        <f t="shared" si="37"/>
        <v>0</v>
      </c>
      <c r="Z128" s="30">
        <f t="shared" si="23"/>
        <v>0</v>
      </c>
    </row>
    <row r="129" spans="6:26" ht="60" customHeight="1" x14ac:dyDescent="0.2">
      <c r="F129" s="50">
        <v>30400</v>
      </c>
      <c r="G129" s="51" t="s">
        <v>93</v>
      </c>
      <c r="H129" s="52"/>
      <c r="I129" s="52"/>
      <c r="J129" s="52"/>
      <c r="K129" s="52"/>
      <c r="L129" s="52"/>
      <c r="M129" s="52"/>
      <c r="N129" s="52"/>
      <c r="O129" s="5"/>
      <c r="P129" s="5"/>
      <c r="Q129" s="5"/>
      <c r="R129" s="5"/>
      <c r="S129" s="5"/>
      <c r="T129" s="5"/>
      <c r="U129" s="5"/>
      <c r="V129" s="5"/>
      <c r="W129" s="5"/>
      <c r="X129" s="6">
        <f t="shared" si="37"/>
        <v>0</v>
      </c>
      <c r="Z129" s="30">
        <f t="shared" si="23"/>
        <v>0</v>
      </c>
    </row>
    <row r="130" spans="6:26" ht="60" customHeight="1" x14ac:dyDescent="0.2">
      <c r="F130" s="50">
        <f t="shared" ref="F130:F135" si="39">+F129+1</f>
        <v>30401</v>
      </c>
      <c r="G130" s="53" t="s">
        <v>337</v>
      </c>
      <c r="H130" s="52"/>
      <c r="I130" s="52">
        <v>800000</v>
      </c>
      <c r="J130" s="52"/>
      <c r="K130" s="52"/>
      <c r="L130" s="52"/>
      <c r="M130" s="52">
        <f>I130</f>
        <v>800000</v>
      </c>
      <c r="N130" s="52"/>
      <c r="O130" s="7">
        <f t="shared" ref="O130:O135" si="40">SUM(K130:N130)</f>
        <v>800000</v>
      </c>
      <c r="P130" s="5"/>
      <c r="Q130" s="5"/>
      <c r="R130" s="5"/>
      <c r="S130" s="5"/>
      <c r="T130" s="5"/>
      <c r="U130" s="5"/>
      <c r="V130" s="5"/>
      <c r="W130" s="5">
        <f t="shared" ref="W130:W135" si="41">V130+U130+T130+S130</f>
        <v>0</v>
      </c>
      <c r="X130" s="6">
        <f t="shared" si="37"/>
        <v>0</v>
      </c>
      <c r="Z130" s="30">
        <f t="shared" si="23"/>
        <v>0</v>
      </c>
    </row>
    <row r="131" spans="6:26" ht="60" customHeight="1" x14ac:dyDescent="0.2">
      <c r="F131" s="50">
        <f t="shared" si="39"/>
        <v>30402</v>
      </c>
      <c r="G131" s="53" t="s">
        <v>94</v>
      </c>
      <c r="H131" s="52">
        <f>200000-I131</f>
        <v>50000</v>
      </c>
      <c r="I131" s="52">
        <v>150000</v>
      </c>
      <c r="J131" s="52"/>
      <c r="K131" s="52"/>
      <c r="L131" s="52"/>
      <c r="M131" s="52">
        <f>I131</f>
        <v>150000</v>
      </c>
      <c r="N131" s="52"/>
      <c r="O131" s="7">
        <f t="shared" si="40"/>
        <v>150000</v>
      </c>
      <c r="P131" s="5"/>
      <c r="Q131" s="5"/>
      <c r="R131" s="5"/>
      <c r="S131" s="5"/>
      <c r="T131" s="5"/>
      <c r="U131" s="5"/>
      <c r="V131" s="5"/>
      <c r="W131" s="5">
        <f t="shared" si="41"/>
        <v>0</v>
      </c>
      <c r="X131" s="6">
        <f t="shared" si="37"/>
        <v>0</v>
      </c>
      <c r="Z131" s="30">
        <f t="shared" si="23"/>
        <v>0</v>
      </c>
    </row>
    <row r="132" spans="6:26" ht="60" customHeight="1" x14ac:dyDescent="0.2">
      <c r="F132" s="50">
        <f t="shared" si="39"/>
        <v>30403</v>
      </c>
      <c r="G132" s="53" t="s">
        <v>95</v>
      </c>
      <c r="H132" s="52"/>
      <c r="I132" s="52">
        <v>200000</v>
      </c>
      <c r="J132" s="52">
        <f>I132</f>
        <v>200000</v>
      </c>
      <c r="K132" s="52"/>
      <c r="L132" s="52"/>
      <c r="M132" s="52"/>
      <c r="N132" s="52"/>
      <c r="O132" s="7">
        <f t="shared" si="40"/>
        <v>0</v>
      </c>
      <c r="P132" s="8"/>
      <c r="Q132" s="5"/>
      <c r="R132" s="8"/>
      <c r="S132" s="8"/>
      <c r="T132" s="8"/>
      <c r="U132" s="8"/>
      <c r="V132" s="8"/>
      <c r="W132" s="5">
        <f t="shared" si="41"/>
        <v>0</v>
      </c>
      <c r="X132" s="6">
        <f t="shared" si="37"/>
        <v>0</v>
      </c>
      <c r="Z132" s="30">
        <f t="shared" si="23"/>
        <v>0</v>
      </c>
    </row>
    <row r="133" spans="6:26" ht="60" customHeight="1" x14ac:dyDescent="0.2">
      <c r="F133" s="50">
        <f t="shared" si="39"/>
        <v>30404</v>
      </c>
      <c r="G133" s="53" t="s">
        <v>96</v>
      </c>
      <c r="H133" s="52"/>
      <c r="I133" s="52">
        <v>600000</v>
      </c>
      <c r="J133" s="52"/>
      <c r="K133" s="52"/>
      <c r="L133" s="52"/>
      <c r="M133" s="52">
        <f>I133</f>
        <v>600000</v>
      </c>
      <c r="N133" s="52"/>
      <c r="O133" s="7">
        <f t="shared" si="40"/>
        <v>600000</v>
      </c>
      <c r="P133" s="5"/>
      <c r="Q133" s="5"/>
      <c r="R133" s="5"/>
      <c r="S133" s="5"/>
      <c r="T133" s="5"/>
      <c r="U133" s="5"/>
      <c r="V133" s="5"/>
      <c r="W133" s="5">
        <f t="shared" si="41"/>
        <v>0</v>
      </c>
      <c r="X133" s="6">
        <f t="shared" si="37"/>
        <v>0</v>
      </c>
      <c r="Z133" s="30">
        <f t="shared" si="23"/>
        <v>0</v>
      </c>
    </row>
    <row r="134" spans="6:26" ht="60" customHeight="1" x14ac:dyDescent="0.2">
      <c r="F134" s="50">
        <f t="shared" si="39"/>
        <v>30405</v>
      </c>
      <c r="G134" s="53" t="s">
        <v>97</v>
      </c>
      <c r="H134" s="52">
        <f>1200000-I134</f>
        <v>500000</v>
      </c>
      <c r="I134" s="52">
        <v>700000</v>
      </c>
      <c r="J134" s="52">
        <v>350000</v>
      </c>
      <c r="K134" s="52"/>
      <c r="L134" s="52"/>
      <c r="M134" s="52">
        <f>I134-J134</f>
        <v>350000</v>
      </c>
      <c r="N134" s="52"/>
      <c r="O134" s="7">
        <f t="shared" si="40"/>
        <v>350000</v>
      </c>
      <c r="P134" s="5"/>
      <c r="Q134" s="5"/>
      <c r="R134" s="5"/>
      <c r="S134" s="5"/>
      <c r="T134" s="5"/>
      <c r="U134" s="5"/>
      <c r="V134" s="5"/>
      <c r="W134" s="5">
        <f t="shared" si="41"/>
        <v>0</v>
      </c>
      <c r="X134" s="6">
        <f t="shared" si="37"/>
        <v>0</v>
      </c>
      <c r="Z134" s="30">
        <f t="shared" si="23"/>
        <v>0</v>
      </c>
    </row>
    <row r="135" spans="6:26" ht="60" customHeight="1" x14ac:dyDescent="0.2">
      <c r="F135" s="50">
        <f t="shared" si="39"/>
        <v>30406</v>
      </c>
      <c r="G135" s="53" t="s">
        <v>312</v>
      </c>
      <c r="H135" s="52"/>
      <c r="I135" s="52">
        <v>200000</v>
      </c>
      <c r="J135" s="52"/>
      <c r="K135" s="52"/>
      <c r="L135" s="52"/>
      <c r="M135" s="52">
        <f>I135-J135</f>
        <v>200000</v>
      </c>
      <c r="N135" s="52"/>
      <c r="O135" s="7">
        <f t="shared" si="40"/>
        <v>200000</v>
      </c>
      <c r="P135" s="5"/>
      <c r="Q135" s="5"/>
      <c r="R135" s="5"/>
      <c r="S135" s="5"/>
      <c r="T135" s="5"/>
      <c r="U135" s="5"/>
      <c r="V135" s="5"/>
      <c r="W135" s="5">
        <f t="shared" si="41"/>
        <v>0</v>
      </c>
      <c r="X135" s="6">
        <f t="shared" si="37"/>
        <v>0</v>
      </c>
      <c r="Z135" s="30">
        <f t="shared" si="23"/>
        <v>0</v>
      </c>
    </row>
    <row r="136" spans="6:26" ht="60" customHeight="1" x14ac:dyDescent="0.2">
      <c r="F136" s="58"/>
      <c r="G136" s="56" t="s">
        <v>98</v>
      </c>
      <c r="H136" s="57">
        <f t="shared" ref="H136:W136" si="42">SUM(H130:H135)</f>
        <v>550000</v>
      </c>
      <c r="I136" s="57">
        <f t="shared" si="42"/>
        <v>2650000</v>
      </c>
      <c r="J136" s="57">
        <f t="shared" si="42"/>
        <v>550000</v>
      </c>
      <c r="K136" s="57">
        <f t="shared" si="42"/>
        <v>0</v>
      </c>
      <c r="L136" s="57">
        <f t="shared" si="42"/>
        <v>0</v>
      </c>
      <c r="M136" s="57">
        <f t="shared" si="42"/>
        <v>2100000</v>
      </c>
      <c r="N136" s="57">
        <f t="shared" si="42"/>
        <v>0</v>
      </c>
      <c r="O136" s="6">
        <f t="shared" si="42"/>
        <v>2100000</v>
      </c>
      <c r="P136" s="6">
        <f t="shared" si="42"/>
        <v>0</v>
      </c>
      <c r="Q136" s="6">
        <f t="shared" si="42"/>
        <v>0</v>
      </c>
      <c r="R136" s="6">
        <f t="shared" si="42"/>
        <v>0</v>
      </c>
      <c r="S136" s="6">
        <f t="shared" si="42"/>
        <v>0</v>
      </c>
      <c r="T136" s="6">
        <f t="shared" si="42"/>
        <v>0</v>
      </c>
      <c r="U136" s="6">
        <f t="shared" si="42"/>
        <v>0</v>
      </c>
      <c r="V136" s="6">
        <f t="shared" si="42"/>
        <v>0</v>
      </c>
      <c r="W136" s="6">
        <f t="shared" si="42"/>
        <v>0</v>
      </c>
      <c r="X136" s="6">
        <f t="shared" si="37"/>
        <v>0</v>
      </c>
      <c r="Z136" s="30">
        <f t="shared" si="23"/>
        <v>0</v>
      </c>
    </row>
    <row r="137" spans="6:26" ht="60" customHeight="1" x14ac:dyDescent="0.2">
      <c r="F137" s="50">
        <v>30500</v>
      </c>
      <c r="G137" s="51" t="s">
        <v>99</v>
      </c>
      <c r="H137" s="52"/>
      <c r="I137" s="52"/>
      <c r="J137" s="52"/>
      <c r="K137" s="52"/>
      <c r="L137" s="52"/>
      <c r="M137" s="52"/>
      <c r="N137" s="52"/>
      <c r="O137" s="5"/>
      <c r="P137" s="5"/>
      <c r="Q137" s="5"/>
      <c r="R137" s="5"/>
      <c r="S137" s="5"/>
      <c r="T137" s="5"/>
      <c r="U137" s="5"/>
      <c r="V137" s="5"/>
      <c r="W137" s="5"/>
      <c r="X137" s="6">
        <f t="shared" si="37"/>
        <v>0</v>
      </c>
      <c r="Z137" s="30">
        <f t="shared" ref="Z137:Z201" si="43">I137-J137-SUM(K137:N137)</f>
        <v>0</v>
      </c>
    </row>
    <row r="138" spans="6:26" ht="60" customHeight="1" x14ac:dyDescent="0.2">
      <c r="F138" s="50">
        <f>+F137+1</f>
        <v>30501</v>
      </c>
      <c r="G138" s="53" t="s">
        <v>99</v>
      </c>
      <c r="H138" s="52"/>
      <c r="I138" s="52">
        <v>200000</v>
      </c>
      <c r="J138" s="52">
        <f>I138/2</f>
        <v>100000</v>
      </c>
      <c r="K138" s="52"/>
      <c r="L138" s="52"/>
      <c r="M138" s="52"/>
      <c r="N138" s="52">
        <f>I138-J138</f>
        <v>100000</v>
      </c>
      <c r="O138" s="7">
        <f>SUM(K138:N138)</f>
        <v>100000</v>
      </c>
      <c r="P138" s="5"/>
      <c r="Q138" s="5"/>
      <c r="R138" s="5"/>
      <c r="S138" s="5"/>
      <c r="T138" s="5"/>
      <c r="U138" s="5"/>
      <c r="V138" s="5"/>
      <c r="W138" s="5">
        <f>V138+U138+T138+S138</f>
        <v>0</v>
      </c>
      <c r="X138" s="6">
        <f t="shared" si="37"/>
        <v>0</v>
      </c>
      <c r="Z138" s="30">
        <f t="shared" si="43"/>
        <v>0</v>
      </c>
    </row>
    <row r="139" spans="6:26" ht="60" customHeight="1" x14ac:dyDescent="0.2">
      <c r="F139" s="58"/>
      <c r="G139" s="56" t="s">
        <v>100</v>
      </c>
      <c r="H139" s="57">
        <f t="shared" ref="H139:W139" si="44">SUM(H138)</f>
        <v>0</v>
      </c>
      <c r="I139" s="57">
        <f t="shared" si="44"/>
        <v>200000</v>
      </c>
      <c r="J139" s="57">
        <f t="shared" si="44"/>
        <v>100000</v>
      </c>
      <c r="K139" s="57">
        <f t="shared" si="44"/>
        <v>0</v>
      </c>
      <c r="L139" s="57">
        <f t="shared" si="44"/>
        <v>0</v>
      </c>
      <c r="M139" s="57">
        <f t="shared" si="44"/>
        <v>0</v>
      </c>
      <c r="N139" s="57">
        <f t="shared" si="44"/>
        <v>100000</v>
      </c>
      <c r="O139" s="6">
        <f t="shared" si="44"/>
        <v>100000</v>
      </c>
      <c r="P139" s="6">
        <f t="shared" si="44"/>
        <v>0</v>
      </c>
      <c r="Q139" s="6">
        <f t="shared" si="44"/>
        <v>0</v>
      </c>
      <c r="R139" s="6">
        <f t="shared" si="44"/>
        <v>0</v>
      </c>
      <c r="S139" s="6">
        <f t="shared" si="44"/>
        <v>0</v>
      </c>
      <c r="T139" s="6">
        <f t="shared" si="44"/>
        <v>0</v>
      </c>
      <c r="U139" s="6">
        <f t="shared" si="44"/>
        <v>0</v>
      </c>
      <c r="V139" s="6">
        <f t="shared" si="44"/>
        <v>0</v>
      </c>
      <c r="W139" s="6">
        <f t="shared" si="44"/>
        <v>0</v>
      </c>
      <c r="X139" s="6">
        <f t="shared" si="37"/>
        <v>0</v>
      </c>
      <c r="Z139" s="30">
        <f t="shared" si="43"/>
        <v>0</v>
      </c>
    </row>
    <row r="140" spans="6:26" ht="60" customHeight="1" x14ac:dyDescent="0.2">
      <c r="F140" s="50">
        <v>30600</v>
      </c>
      <c r="G140" s="51" t="s">
        <v>101</v>
      </c>
      <c r="H140" s="52"/>
      <c r="I140" s="52"/>
      <c r="J140" s="52"/>
      <c r="K140" s="52"/>
      <c r="L140" s="52"/>
      <c r="M140" s="52"/>
      <c r="N140" s="52"/>
      <c r="O140" s="5"/>
      <c r="P140" s="5"/>
      <c r="Q140" s="5"/>
      <c r="R140" s="5"/>
      <c r="S140" s="5"/>
      <c r="T140" s="5"/>
      <c r="U140" s="5"/>
      <c r="V140" s="5"/>
      <c r="W140" s="5"/>
      <c r="X140" s="6">
        <f t="shared" si="37"/>
        <v>0</v>
      </c>
      <c r="Z140" s="30">
        <f t="shared" si="43"/>
        <v>0</v>
      </c>
    </row>
    <row r="141" spans="6:26" ht="60" customHeight="1" x14ac:dyDescent="0.2">
      <c r="F141" s="50">
        <f>+F140+1</f>
        <v>30601</v>
      </c>
      <c r="G141" s="53" t="s">
        <v>102</v>
      </c>
      <c r="H141" s="52"/>
      <c r="I141" s="52">
        <v>100000</v>
      </c>
      <c r="J141" s="52">
        <f>I141</f>
        <v>100000</v>
      </c>
      <c r="K141" s="52"/>
      <c r="L141" s="52"/>
      <c r="M141" s="52"/>
      <c r="N141" s="52"/>
      <c r="O141" s="7">
        <f>SUM(K141:N141)</f>
        <v>0</v>
      </c>
      <c r="P141" s="5"/>
      <c r="Q141" s="5"/>
      <c r="R141" s="5"/>
      <c r="S141" s="5"/>
      <c r="T141" s="5"/>
      <c r="U141" s="5"/>
      <c r="V141" s="5"/>
      <c r="W141" s="5">
        <f>V141+U141+T141+S141</f>
        <v>0</v>
      </c>
      <c r="X141" s="6">
        <f t="shared" si="37"/>
        <v>0</v>
      </c>
      <c r="Z141" s="30">
        <f t="shared" si="43"/>
        <v>0</v>
      </c>
    </row>
    <row r="142" spans="6:26" ht="60" customHeight="1" x14ac:dyDescent="0.2">
      <c r="F142" s="50">
        <f>+F141+1</f>
        <v>30602</v>
      </c>
      <c r="G142" s="53" t="s">
        <v>103</v>
      </c>
      <c r="H142" s="52"/>
      <c r="I142" s="52">
        <v>300000</v>
      </c>
      <c r="J142" s="52">
        <f>I142/2</f>
        <v>150000</v>
      </c>
      <c r="K142" s="52"/>
      <c r="L142" s="52"/>
      <c r="M142" s="52">
        <f>I142-J142</f>
        <v>150000</v>
      </c>
      <c r="N142" s="52"/>
      <c r="O142" s="7">
        <f>SUM(K142:N142)</f>
        <v>150000</v>
      </c>
      <c r="P142" s="5"/>
      <c r="Q142" s="5"/>
      <c r="R142" s="5"/>
      <c r="S142" s="5"/>
      <c r="T142" s="5"/>
      <c r="U142" s="5"/>
      <c r="V142" s="5"/>
      <c r="W142" s="5">
        <f>V142+U142+T142+S142</f>
        <v>0</v>
      </c>
      <c r="X142" s="6">
        <f t="shared" si="37"/>
        <v>0</v>
      </c>
      <c r="Z142" s="30">
        <f t="shared" si="43"/>
        <v>0</v>
      </c>
    </row>
    <row r="143" spans="6:26" ht="60" customHeight="1" x14ac:dyDescent="0.2">
      <c r="F143" s="50">
        <f>+F142+1</f>
        <v>30603</v>
      </c>
      <c r="G143" s="53" t="s">
        <v>478</v>
      </c>
      <c r="H143" s="52"/>
      <c r="I143" s="52">
        <v>170000</v>
      </c>
      <c r="J143" s="52"/>
      <c r="K143" s="52"/>
      <c r="L143" s="52"/>
      <c r="M143" s="52">
        <f>I143</f>
        <v>170000</v>
      </c>
      <c r="N143" s="52"/>
      <c r="O143" s="7">
        <f>SUM(K143:N143)</f>
        <v>170000</v>
      </c>
      <c r="P143" s="5"/>
      <c r="Q143" s="5"/>
      <c r="R143" s="5"/>
      <c r="S143" s="5"/>
      <c r="T143" s="5"/>
      <c r="U143" s="5"/>
      <c r="V143" s="5"/>
      <c r="W143" s="5">
        <f>V143+U143+T143+S143</f>
        <v>0</v>
      </c>
      <c r="X143" s="6">
        <f t="shared" si="37"/>
        <v>0</v>
      </c>
      <c r="Z143" s="30">
        <f t="shared" si="43"/>
        <v>0</v>
      </c>
    </row>
    <row r="144" spans="6:26" ht="60" customHeight="1" x14ac:dyDescent="0.2">
      <c r="F144" s="58"/>
      <c r="G144" s="56" t="s">
        <v>104</v>
      </c>
      <c r="H144" s="57">
        <f t="shared" ref="H144:W144" si="45">SUM(H141:H143)</f>
        <v>0</v>
      </c>
      <c r="I144" s="57">
        <f t="shared" si="45"/>
        <v>570000</v>
      </c>
      <c r="J144" s="57">
        <f t="shared" si="45"/>
        <v>250000</v>
      </c>
      <c r="K144" s="57">
        <f t="shared" si="45"/>
        <v>0</v>
      </c>
      <c r="L144" s="57">
        <f t="shared" si="45"/>
        <v>0</v>
      </c>
      <c r="M144" s="57">
        <f t="shared" si="45"/>
        <v>320000</v>
      </c>
      <c r="N144" s="57">
        <f t="shared" si="45"/>
        <v>0</v>
      </c>
      <c r="O144" s="6">
        <f t="shared" si="45"/>
        <v>320000</v>
      </c>
      <c r="P144" s="6">
        <f t="shared" si="45"/>
        <v>0</v>
      </c>
      <c r="Q144" s="6">
        <f t="shared" si="45"/>
        <v>0</v>
      </c>
      <c r="R144" s="6">
        <f t="shared" si="45"/>
        <v>0</v>
      </c>
      <c r="S144" s="6">
        <f t="shared" si="45"/>
        <v>0</v>
      </c>
      <c r="T144" s="6">
        <f t="shared" si="45"/>
        <v>0</v>
      </c>
      <c r="U144" s="6">
        <f t="shared" si="45"/>
        <v>0</v>
      </c>
      <c r="V144" s="6">
        <f t="shared" si="45"/>
        <v>0</v>
      </c>
      <c r="W144" s="6">
        <f t="shared" si="45"/>
        <v>0</v>
      </c>
      <c r="X144" s="6">
        <f>Q144-R144-W144</f>
        <v>0</v>
      </c>
      <c r="Z144" s="30">
        <f t="shared" si="43"/>
        <v>0</v>
      </c>
    </row>
    <row r="145" spans="6:26" ht="60" customHeight="1" x14ac:dyDescent="0.2">
      <c r="F145" s="50">
        <v>30700</v>
      </c>
      <c r="G145" s="51" t="s">
        <v>105</v>
      </c>
      <c r="H145" s="52"/>
      <c r="I145" s="52"/>
      <c r="J145" s="52"/>
      <c r="K145" s="52"/>
      <c r="L145" s="52"/>
      <c r="M145" s="52"/>
      <c r="N145" s="52"/>
      <c r="O145" s="5"/>
      <c r="P145" s="5"/>
      <c r="Q145" s="5"/>
      <c r="R145" s="5"/>
      <c r="S145" s="5"/>
      <c r="T145" s="5"/>
      <c r="U145" s="5"/>
      <c r="V145" s="5"/>
      <c r="W145" s="5"/>
      <c r="X145" s="6">
        <f>Q145-R145-W145</f>
        <v>0</v>
      </c>
      <c r="Z145" s="30">
        <f t="shared" si="43"/>
        <v>0</v>
      </c>
    </row>
    <row r="146" spans="6:26" ht="60" customHeight="1" x14ac:dyDescent="0.2">
      <c r="F146" s="50">
        <f>+F145+1</f>
        <v>30701</v>
      </c>
      <c r="G146" s="53" t="s">
        <v>106</v>
      </c>
      <c r="H146" s="52"/>
      <c r="I146" s="52">
        <v>3000000</v>
      </c>
      <c r="J146" s="52">
        <f>I146</f>
        <v>3000000</v>
      </c>
      <c r="K146" s="52"/>
      <c r="L146" s="52"/>
      <c r="M146" s="52"/>
      <c r="N146" s="52"/>
      <c r="O146" s="7">
        <f>SUM(K146:N146)</f>
        <v>0</v>
      </c>
      <c r="P146" s="5"/>
      <c r="Q146" s="5"/>
      <c r="R146" s="5"/>
      <c r="S146" s="5"/>
      <c r="T146" s="5"/>
      <c r="U146" s="5"/>
      <c r="V146" s="5"/>
      <c r="W146" s="5">
        <f>V146+U146+T146+S146</f>
        <v>0</v>
      </c>
      <c r="X146" s="6">
        <f>Q146-R146-W146</f>
        <v>0</v>
      </c>
      <c r="Z146" s="30">
        <f t="shared" si="43"/>
        <v>0</v>
      </c>
    </row>
    <row r="147" spans="6:26" ht="60" customHeight="1" x14ac:dyDescent="0.2">
      <c r="F147" s="50">
        <f>+F146+1</f>
        <v>30702</v>
      </c>
      <c r="G147" s="53" t="s">
        <v>107</v>
      </c>
      <c r="H147" s="52"/>
      <c r="I147" s="52">
        <v>670000</v>
      </c>
      <c r="J147" s="52"/>
      <c r="K147" s="52"/>
      <c r="L147" s="52"/>
      <c r="M147" s="52">
        <f>I147</f>
        <v>670000</v>
      </c>
      <c r="N147" s="52"/>
      <c r="O147" s="7">
        <f>SUM(K147:N147)</f>
        <v>670000</v>
      </c>
      <c r="P147" s="5"/>
      <c r="Q147" s="5"/>
      <c r="R147" s="5"/>
      <c r="S147" s="5"/>
      <c r="T147" s="5"/>
      <c r="U147" s="5"/>
      <c r="V147" s="5"/>
      <c r="W147" s="5">
        <f>V147+U147+T147+S147</f>
        <v>0</v>
      </c>
      <c r="X147" s="6">
        <f>Q147-R147-W147</f>
        <v>0</v>
      </c>
      <c r="Z147" s="30">
        <f t="shared" si="43"/>
        <v>0</v>
      </c>
    </row>
    <row r="148" spans="6:26" ht="60" customHeight="1" x14ac:dyDescent="0.2">
      <c r="F148" s="50">
        <f>+F147+1</f>
        <v>30703</v>
      </c>
      <c r="G148" s="53" t="s">
        <v>465</v>
      </c>
      <c r="H148" s="52"/>
      <c r="I148" s="52">
        <v>350000</v>
      </c>
      <c r="J148" s="52">
        <v>190000</v>
      </c>
      <c r="K148" s="52"/>
      <c r="L148" s="52"/>
      <c r="M148" s="52">
        <f>I148-J148</f>
        <v>160000</v>
      </c>
      <c r="N148" s="52"/>
      <c r="O148" s="7">
        <f>SUM(K148:N148)</f>
        <v>160000</v>
      </c>
      <c r="P148" s="5"/>
      <c r="Q148" s="5"/>
      <c r="R148" s="5"/>
      <c r="S148" s="5"/>
      <c r="T148" s="5"/>
      <c r="U148" s="5"/>
      <c r="V148" s="5"/>
      <c r="W148" s="5">
        <f>V148+U148+T148+S148</f>
        <v>0</v>
      </c>
      <c r="X148" s="6">
        <f>Q148-R148-W148</f>
        <v>0</v>
      </c>
      <c r="Z148" s="30">
        <f t="shared" si="43"/>
        <v>0</v>
      </c>
    </row>
    <row r="149" spans="6:26" ht="60" customHeight="1" x14ac:dyDescent="0.2">
      <c r="F149" s="50">
        <f>+F148+1</f>
        <v>30704</v>
      </c>
      <c r="G149" s="53" t="s">
        <v>466</v>
      </c>
      <c r="H149" s="52"/>
      <c r="I149" s="52">
        <v>450000</v>
      </c>
      <c r="J149" s="52"/>
      <c r="K149" s="52"/>
      <c r="L149" s="52"/>
      <c r="M149" s="52">
        <f>I149</f>
        <v>450000</v>
      </c>
      <c r="N149" s="52"/>
      <c r="O149" s="7">
        <f>SUM(K149:N149)</f>
        <v>450000</v>
      </c>
      <c r="P149" s="5"/>
      <c r="Q149" s="5"/>
      <c r="R149" s="5"/>
      <c r="S149" s="5"/>
      <c r="T149" s="5"/>
      <c r="U149" s="5"/>
      <c r="V149" s="5"/>
      <c r="W149" s="5"/>
      <c r="X149" s="6"/>
      <c r="Z149" s="30">
        <f t="shared" si="43"/>
        <v>0</v>
      </c>
    </row>
    <row r="150" spans="6:26" ht="60" customHeight="1" x14ac:dyDescent="0.2">
      <c r="F150" s="50">
        <f>+F149+1</f>
        <v>30705</v>
      </c>
      <c r="G150" s="53" t="s">
        <v>108</v>
      </c>
      <c r="H150" s="52">
        <v>50000</v>
      </c>
      <c r="I150" s="52">
        <v>50000</v>
      </c>
      <c r="J150" s="52"/>
      <c r="K150" s="52"/>
      <c r="L150" s="52"/>
      <c r="M150" s="52">
        <f>I150</f>
        <v>50000</v>
      </c>
      <c r="N150" s="52"/>
      <c r="O150" s="7">
        <f>SUM(K150:N150)</f>
        <v>50000</v>
      </c>
      <c r="P150" s="5"/>
      <c r="Q150" s="5"/>
      <c r="R150" s="5"/>
      <c r="S150" s="5"/>
      <c r="T150" s="5"/>
      <c r="U150" s="5"/>
      <c r="V150" s="5"/>
      <c r="W150" s="5">
        <f>V150+U150+T150+S150</f>
        <v>0</v>
      </c>
      <c r="X150" s="6">
        <f>Q150-R150-W150</f>
        <v>0</v>
      </c>
      <c r="Z150" s="30">
        <f t="shared" si="43"/>
        <v>0</v>
      </c>
    </row>
    <row r="151" spans="6:26" ht="60" customHeight="1" x14ac:dyDescent="0.2">
      <c r="F151" s="58"/>
      <c r="G151" s="56" t="s">
        <v>109</v>
      </c>
      <c r="H151" s="57">
        <f t="shared" ref="H151:W151" si="46">SUM(H146:H150)</f>
        <v>50000</v>
      </c>
      <c r="I151" s="57">
        <f t="shared" si="46"/>
        <v>4520000</v>
      </c>
      <c r="J151" s="57">
        <f t="shared" si="46"/>
        <v>3190000</v>
      </c>
      <c r="K151" s="57">
        <f t="shared" si="46"/>
        <v>0</v>
      </c>
      <c r="L151" s="57">
        <f t="shared" si="46"/>
        <v>0</v>
      </c>
      <c r="M151" s="57">
        <f t="shared" si="46"/>
        <v>1330000</v>
      </c>
      <c r="N151" s="57">
        <f t="shared" si="46"/>
        <v>0</v>
      </c>
      <c r="O151" s="6">
        <f t="shared" si="46"/>
        <v>1330000</v>
      </c>
      <c r="P151" s="6">
        <f t="shared" si="46"/>
        <v>0</v>
      </c>
      <c r="Q151" s="6">
        <f t="shared" si="46"/>
        <v>0</v>
      </c>
      <c r="R151" s="6">
        <f t="shared" si="46"/>
        <v>0</v>
      </c>
      <c r="S151" s="6">
        <f t="shared" si="46"/>
        <v>0</v>
      </c>
      <c r="T151" s="6">
        <f t="shared" si="46"/>
        <v>0</v>
      </c>
      <c r="U151" s="6">
        <f t="shared" si="46"/>
        <v>0</v>
      </c>
      <c r="V151" s="6">
        <f t="shared" si="46"/>
        <v>0</v>
      </c>
      <c r="W151" s="6">
        <f t="shared" si="46"/>
        <v>0</v>
      </c>
      <c r="X151" s="6">
        <f>Q151-R151-W151</f>
        <v>0</v>
      </c>
      <c r="Z151" s="30">
        <f t="shared" si="43"/>
        <v>0</v>
      </c>
    </row>
    <row r="152" spans="6:26" ht="60" customHeight="1" x14ac:dyDescent="0.2">
      <c r="F152" s="58"/>
      <c r="G152" s="56" t="s">
        <v>110</v>
      </c>
      <c r="H152" s="57">
        <f t="shared" ref="H152:W152" si="47">H151+H144+H139+H136+H128+H103+H90</f>
        <v>4850000</v>
      </c>
      <c r="I152" s="57">
        <f t="shared" si="47"/>
        <v>64220000</v>
      </c>
      <c r="J152" s="57">
        <f t="shared" si="47"/>
        <v>32440000</v>
      </c>
      <c r="K152" s="57">
        <f t="shared" si="47"/>
        <v>5000000</v>
      </c>
      <c r="L152" s="57">
        <f t="shared" si="47"/>
        <v>0</v>
      </c>
      <c r="M152" s="57">
        <f t="shared" si="47"/>
        <v>12255000</v>
      </c>
      <c r="N152" s="57">
        <f t="shared" si="47"/>
        <v>14525000</v>
      </c>
      <c r="O152" s="6">
        <f t="shared" si="47"/>
        <v>25780000</v>
      </c>
      <c r="P152" s="6">
        <f t="shared" si="47"/>
        <v>0</v>
      </c>
      <c r="Q152" s="6">
        <f t="shared" si="47"/>
        <v>0</v>
      </c>
      <c r="R152" s="6">
        <f t="shared" si="47"/>
        <v>0</v>
      </c>
      <c r="S152" s="6">
        <f t="shared" si="47"/>
        <v>0</v>
      </c>
      <c r="T152" s="6">
        <f t="shared" si="47"/>
        <v>0</v>
      </c>
      <c r="U152" s="6">
        <f t="shared" si="47"/>
        <v>0</v>
      </c>
      <c r="V152" s="6">
        <f t="shared" si="47"/>
        <v>0</v>
      </c>
      <c r="W152" s="6">
        <f t="shared" si="47"/>
        <v>0</v>
      </c>
      <c r="X152" s="6">
        <f>Q152-R152-W152</f>
        <v>0</v>
      </c>
      <c r="Z152" s="30">
        <f t="shared" si="43"/>
        <v>0</v>
      </c>
    </row>
    <row r="153" spans="6:26" ht="60" customHeight="1" x14ac:dyDescent="0.2">
      <c r="F153" s="50">
        <v>30800</v>
      </c>
      <c r="G153" s="51" t="s">
        <v>111</v>
      </c>
      <c r="H153" s="52"/>
      <c r="I153" s="52"/>
      <c r="J153" s="52"/>
      <c r="K153" s="52"/>
      <c r="L153" s="52"/>
      <c r="M153" s="52"/>
      <c r="N153" s="52"/>
      <c r="O153" s="5"/>
      <c r="P153" s="5"/>
      <c r="Q153" s="5"/>
      <c r="R153" s="5"/>
      <c r="S153" s="5"/>
      <c r="T153" s="5"/>
      <c r="U153" s="5"/>
      <c r="V153" s="5"/>
      <c r="W153" s="5"/>
      <c r="X153" s="6">
        <f>Q153-R153-W153</f>
        <v>0</v>
      </c>
      <c r="Z153" s="30">
        <f t="shared" si="43"/>
        <v>0</v>
      </c>
    </row>
    <row r="154" spans="6:26" ht="60" customHeight="1" x14ac:dyDescent="0.2">
      <c r="F154" s="50">
        <f>F153+1</f>
        <v>30801</v>
      </c>
      <c r="G154" s="53" t="s">
        <v>330</v>
      </c>
      <c r="H154" s="52"/>
      <c r="I154" s="52">
        <v>500000</v>
      </c>
      <c r="J154" s="52"/>
      <c r="K154" s="52"/>
      <c r="L154" s="52"/>
      <c r="M154" s="52">
        <f>I154/2</f>
        <v>250000</v>
      </c>
      <c r="N154" s="52">
        <f>I154-M154</f>
        <v>250000</v>
      </c>
      <c r="O154" s="7">
        <f t="shared" ref="O154:O172" si="48">SUM(K154:N154)</f>
        <v>500000</v>
      </c>
      <c r="P154" s="5"/>
      <c r="Q154" s="5"/>
      <c r="R154" s="5"/>
      <c r="S154" s="5"/>
      <c r="T154" s="5"/>
      <c r="U154" s="5"/>
      <c r="V154" s="5"/>
      <c r="W154" s="5">
        <f t="shared" ref="W154:W169" si="49">V154+U154+T154+S154</f>
        <v>0</v>
      </c>
      <c r="X154" s="6"/>
      <c r="Z154" s="30">
        <f t="shared" si="43"/>
        <v>0</v>
      </c>
    </row>
    <row r="155" spans="6:26" ht="60" customHeight="1" x14ac:dyDescent="0.2">
      <c r="F155" s="50">
        <f t="shared" ref="F155:F174" si="50">F154+1</f>
        <v>30802</v>
      </c>
      <c r="G155" s="53" t="s">
        <v>331</v>
      </c>
      <c r="H155" s="52"/>
      <c r="I155" s="52">
        <v>1000000</v>
      </c>
      <c r="J155" s="52"/>
      <c r="K155" s="52"/>
      <c r="L155" s="52"/>
      <c r="M155" s="52">
        <f>I155</f>
        <v>1000000</v>
      </c>
      <c r="N155" s="52"/>
      <c r="O155" s="7">
        <f t="shared" si="48"/>
        <v>1000000</v>
      </c>
      <c r="P155" s="5"/>
      <c r="Q155" s="5"/>
      <c r="R155" s="5"/>
      <c r="S155" s="5"/>
      <c r="T155" s="5"/>
      <c r="U155" s="5"/>
      <c r="V155" s="5"/>
      <c r="W155" s="5">
        <f t="shared" si="49"/>
        <v>0</v>
      </c>
      <c r="X155" s="6"/>
      <c r="Z155" s="30">
        <f t="shared" si="43"/>
        <v>0</v>
      </c>
    </row>
    <row r="156" spans="6:26" ht="60" customHeight="1" x14ac:dyDescent="0.2">
      <c r="F156" s="50">
        <f t="shared" si="50"/>
        <v>30803</v>
      </c>
      <c r="G156" s="53" t="s">
        <v>332</v>
      </c>
      <c r="H156" s="52">
        <v>200000</v>
      </c>
      <c r="I156" s="52"/>
      <c r="J156" s="52"/>
      <c r="K156" s="52"/>
      <c r="L156" s="52"/>
      <c r="M156" s="52"/>
      <c r="N156" s="52"/>
      <c r="O156" s="7">
        <f t="shared" si="48"/>
        <v>0</v>
      </c>
      <c r="P156" s="5"/>
      <c r="Q156" s="5"/>
      <c r="R156" s="5"/>
      <c r="S156" s="5"/>
      <c r="T156" s="5"/>
      <c r="U156" s="5"/>
      <c r="V156" s="5"/>
      <c r="W156" s="5">
        <f t="shared" si="49"/>
        <v>0</v>
      </c>
      <c r="X156" s="6"/>
      <c r="Z156" s="30">
        <f t="shared" si="43"/>
        <v>0</v>
      </c>
    </row>
    <row r="157" spans="6:26" ht="60" customHeight="1" x14ac:dyDescent="0.2">
      <c r="F157" s="50">
        <f t="shared" si="50"/>
        <v>30804</v>
      </c>
      <c r="G157" s="53" t="s">
        <v>333</v>
      </c>
      <c r="H157" s="52">
        <v>100000</v>
      </c>
      <c r="I157" s="52"/>
      <c r="J157" s="52"/>
      <c r="K157" s="52"/>
      <c r="L157" s="52"/>
      <c r="M157" s="52"/>
      <c r="N157" s="52"/>
      <c r="O157" s="7">
        <f t="shared" si="48"/>
        <v>0</v>
      </c>
      <c r="P157" s="5"/>
      <c r="Q157" s="5"/>
      <c r="R157" s="5"/>
      <c r="S157" s="5"/>
      <c r="T157" s="5"/>
      <c r="U157" s="5"/>
      <c r="V157" s="5"/>
      <c r="W157" s="5">
        <f t="shared" si="49"/>
        <v>0</v>
      </c>
      <c r="X157" s="6"/>
      <c r="Z157" s="30">
        <f t="shared" si="43"/>
        <v>0</v>
      </c>
    </row>
    <row r="158" spans="6:26" ht="60" customHeight="1" x14ac:dyDescent="0.2">
      <c r="F158" s="50">
        <f t="shared" si="50"/>
        <v>30805</v>
      </c>
      <c r="G158" s="53" t="s">
        <v>434</v>
      </c>
      <c r="H158" s="52">
        <v>250000</v>
      </c>
      <c r="I158" s="52"/>
      <c r="J158" s="52"/>
      <c r="K158" s="52"/>
      <c r="L158" s="52"/>
      <c r="M158" s="52"/>
      <c r="N158" s="52"/>
      <c r="O158" s="7">
        <f>SUM(K158:N158)</f>
        <v>0</v>
      </c>
      <c r="P158" s="5"/>
      <c r="Q158" s="5"/>
      <c r="R158" s="5"/>
      <c r="S158" s="5"/>
      <c r="T158" s="5"/>
      <c r="U158" s="5"/>
      <c r="V158" s="5"/>
      <c r="W158" s="5"/>
      <c r="X158" s="6"/>
      <c r="Z158" s="30">
        <f t="shared" si="43"/>
        <v>0</v>
      </c>
    </row>
    <row r="159" spans="6:26" ht="60" customHeight="1" x14ac:dyDescent="0.2">
      <c r="F159" s="50">
        <f t="shared" si="50"/>
        <v>30806</v>
      </c>
      <c r="G159" s="53" t="s">
        <v>435</v>
      </c>
      <c r="H159" s="52">
        <v>150000</v>
      </c>
      <c r="I159" s="52"/>
      <c r="J159" s="52"/>
      <c r="K159" s="52"/>
      <c r="L159" s="52"/>
      <c r="M159" s="52"/>
      <c r="N159" s="52"/>
      <c r="O159" s="7">
        <f>SUM(K159:N159)</f>
        <v>0</v>
      </c>
      <c r="P159" s="5"/>
      <c r="Q159" s="5"/>
      <c r="R159" s="5"/>
      <c r="S159" s="5"/>
      <c r="T159" s="5"/>
      <c r="U159" s="5"/>
      <c r="V159" s="5"/>
      <c r="W159" s="5"/>
      <c r="X159" s="6"/>
      <c r="Z159" s="30">
        <f t="shared" si="43"/>
        <v>0</v>
      </c>
    </row>
    <row r="160" spans="6:26" ht="60" customHeight="1" x14ac:dyDescent="0.2">
      <c r="F160" s="50">
        <f t="shared" si="50"/>
        <v>30807</v>
      </c>
      <c r="G160" s="53" t="s">
        <v>113</v>
      </c>
      <c r="H160" s="52"/>
      <c r="I160" s="52">
        <v>500000</v>
      </c>
      <c r="J160" s="52">
        <f>I160</f>
        <v>500000</v>
      </c>
      <c r="K160" s="52"/>
      <c r="L160" s="52"/>
      <c r="M160" s="52"/>
      <c r="N160" s="52"/>
      <c r="O160" s="7">
        <f t="shared" si="48"/>
        <v>0</v>
      </c>
      <c r="P160" s="5"/>
      <c r="Q160" s="5"/>
      <c r="R160" s="5"/>
      <c r="S160" s="5"/>
      <c r="T160" s="5"/>
      <c r="U160" s="5"/>
      <c r="V160" s="5"/>
      <c r="W160" s="5">
        <f t="shared" si="49"/>
        <v>0</v>
      </c>
      <c r="X160" s="6"/>
      <c r="Z160" s="30">
        <f t="shared" si="43"/>
        <v>0</v>
      </c>
    </row>
    <row r="161" spans="6:26" ht="66.75" customHeight="1" x14ac:dyDescent="0.2">
      <c r="F161" s="50">
        <f t="shared" si="50"/>
        <v>30808</v>
      </c>
      <c r="G161" s="53" t="s">
        <v>479</v>
      </c>
      <c r="H161" s="52"/>
      <c r="I161" s="52">
        <v>100000</v>
      </c>
      <c r="J161" s="52"/>
      <c r="K161" s="52"/>
      <c r="L161" s="52"/>
      <c r="M161" s="52">
        <f>I161/2</f>
        <v>50000</v>
      </c>
      <c r="N161" s="52">
        <f>I161-M161</f>
        <v>50000</v>
      </c>
      <c r="O161" s="7">
        <f t="shared" si="48"/>
        <v>100000</v>
      </c>
      <c r="P161" s="5"/>
      <c r="Q161" s="5"/>
      <c r="R161" s="5"/>
      <c r="S161" s="5"/>
      <c r="T161" s="5"/>
      <c r="U161" s="5"/>
      <c r="V161" s="5"/>
      <c r="W161" s="5">
        <f t="shared" si="49"/>
        <v>0</v>
      </c>
      <c r="X161" s="6"/>
      <c r="Z161" s="30">
        <f t="shared" si="43"/>
        <v>0</v>
      </c>
    </row>
    <row r="162" spans="6:26" ht="60" customHeight="1" x14ac:dyDescent="0.2">
      <c r="F162" s="50">
        <f t="shared" si="50"/>
        <v>30809</v>
      </c>
      <c r="G162" s="53" t="s">
        <v>363</v>
      </c>
      <c r="H162" s="52"/>
      <c r="I162" s="52">
        <v>100000</v>
      </c>
      <c r="J162" s="52"/>
      <c r="K162" s="52"/>
      <c r="L162" s="52"/>
      <c r="M162" s="52"/>
      <c r="N162" s="52">
        <f>I162</f>
        <v>100000</v>
      </c>
      <c r="O162" s="7">
        <f t="shared" si="48"/>
        <v>100000</v>
      </c>
      <c r="P162" s="5"/>
      <c r="Q162" s="5"/>
      <c r="R162" s="5"/>
      <c r="S162" s="5"/>
      <c r="T162" s="5"/>
      <c r="U162" s="5"/>
      <c r="V162" s="5"/>
      <c r="W162" s="5">
        <f t="shared" si="49"/>
        <v>0</v>
      </c>
      <c r="X162" s="6"/>
      <c r="Z162" s="30">
        <f t="shared" si="43"/>
        <v>0</v>
      </c>
    </row>
    <row r="163" spans="6:26" ht="60" customHeight="1" x14ac:dyDescent="0.2">
      <c r="F163" s="50">
        <f t="shared" si="50"/>
        <v>30810</v>
      </c>
      <c r="G163" s="53" t="s">
        <v>334</v>
      </c>
      <c r="H163" s="52"/>
      <c r="I163" s="52">
        <v>750000</v>
      </c>
      <c r="J163" s="52"/>
      <c r="K163" s="52"/>
      <c r="L163" s="52"/>
      <c r="M163" s="52"/>
      <c r="N163" s="52">
        <f>I163</f>
        <v>750000</v>
      </c>
      <c r="O163" s="7">
        <f t="shared" si="48"/>
        <v>750000</v>
      </c>
      <c r="P163" s="5"/>
      <c r="Q163" s="5"/>
      <c r="R163" s="5"/>
      <c r="S163" s="5"/>
      <c r="T163" s="5"/>
      <c r="U163" s="5"/>
      <c r="V163" s="5"/>
      <c r="W163" s="5">
        <f t="shared" si="49"/>
        <v>0</v>
      </c>
      <c r="X163" s="6"/>
      <c r="Z163" s="30">
        <f t="shared" si="43"/>
        <v>0</v>
      </c>
    </row>
    <row r="164" spans="6:26" ht="60" customHeight="1" x14ac:dyDescent="0.2">
      <c r="F164" s="50">
        <f t="shared" si="50"/>
        <v>30811</v>
      </c>
      <c r="G164" s="53" t="s">
        <v>462</v>
      </c>
      <c r="H164" s="52"/>
      <c r="I164" s="52">
        <v>300000</v>
      </c>
      <c r="J164" s="52"/>
      <c r="K164" s="52"/>
      <c r="L164" s="52"/>
      <c r="M164" s="52">
        <f>I164</f>
        <v>300000</v>
      </c>
      <c r="N164" s="52"/>
      <c r="O164" s="7">
        <f t="shared" si="48"/>
        <v>300000</v>
      </c>
      <c r="P164" s="5"/>
      <c r="Q164" s="5"/>
      <c r="R164" s="5"/>
      <c r="S164" s="5"/>
      <c r="T164" s="5"/>
      <c r="U164" s="5"/>
      <c r="V164" s="5"/>
      <c r="W164" s="5">
        <f t="shared" si="49"/>
        <v>0</v>
      </c>
      <c r="X164" s="6"/>
      <c r="Z164" s="30">
        <f t="shared" si="43"/>
        <v>0</v>
      </c>
    </row>
    <row r="165" spans="6:26" ht="60" customHeight="1" x14ac:dyDescent="0.2">
      <c r="F165" s="50">
        <f t="shared" si="50"/>
        <v>30812</v>
      </c>
      <c r="G165" s="53" t="s">
        <v>362</v>
      </c>
      <c r="H165" s="52"/>
      <c r="I165" s="52">
        <v>550000</v>
      </c>
      <c r="J165" s="52">
        <v>500000</v>
      </c>
      <c r="K165" s="52"/>
      <c r="L165" s="52"/>
      <c r="M165" s="52"/>
      <c r="N165" s="52">
        <f>I165-J165</f>
        <v>50000</v>
      </c>
      <c r="O165" s="7">
        <f t="shared" si="48"/>
        <v>50000</v>
      </c>
      <c r="P165" s="5"/>
      <c r="Q165" s="5"/>
      <c r="R165" s="5"/>
      <c r="S165" s="5"/>
      <c r="T165" s="5"/>
      <c r="U165" s="5"/>
      <c r="V165" s="5"/>
      <c r="W165" s="5">
        <f t="shared" si="49"/>
        <v>0</v>
      </c>
      <c r="X165" s="6"/>
      <c r="Z165" s="30">
        <f t="shared" si="43"/>
        <v>0</v>
      </c>
    </row>
    <row r="166" spans="6:26" ht="60" customHeight="1" x14ac:dyDescent="0.2">
      <c r="F166" s="50">
        <f t="shared" si="50"/>
        <v>30813</v>
      </c>
      <c r="G166" s="53" t="s">
        <v>112</v>
      </c>
      <c r="H166" s="52">
        <f>200000-I166</f>
        <v>100000</v>
      </c>
      <c r="I166" s="52">
        <v>100000</v>
      </c>
      <c r="J166" s="52"/>
      <c r="K166" s="52"/>
      <c r="L166" s="52"/>
      <c r="M166" s="52">
        <f>I166</f>
        <v>100000</v>
      </c>
      <c r="N166" s="52"/>
      <c r="O166" s="7">
        <f t="shared" si="48"/>
        <v>100000</v>
      </c>
      <c r="P166" s="5"/>
      <c r="Q166" s="5"/>
      <c r="R166" s="5"/>
      <c r="S166" s="5"/>
      <c r="T166" s="5"/>
      <c r="U166" s="5"/>
      <c r="V166" s="5"/>
      <c r="W166" s="5">
        <f t="shared" si="49"/>
        <v>0</v>
      </c>
      <c r="X166" s="6"/>
      <c r="Z166" s="30">
        <f t="shared" si="43"/>
        <v>0</v>
      </c>
    </row>
    <row r="167" spans="6:26" ht="60" customHeight="1" x14ac:dyDescent="0.2">
      <c r="F167" s="50">
        <f t="shared" si="50"/>
        <v>30814</v>
      </c>
      <c r="G167" s="53" t="s">
        <v>352</v>
      </c>
      <c r="H167" s="52"/>
      <c r="I167" s="52">
        <v>50000</v>
      </c>
      <c r="J167" s="52"/>
      <c r="K167" s="52"/>
      <c r="L167" s="52"/>
      <c r="M167" s="52">
        <f>I167</f>
        <v>50000</v>
      </c>
      <c r="N167" s="52"/>
      <c r="O167" s="7">
        <f t="shared" si="48"/>
        <v>50000</v>
      </c>
      <c r="P167" s="5"/>
      <c r="Q167" s="5"/>
      <c r="R167" s="5"/>
      <c r="S167" s="5"/>
      <c r="T167" s="5"/>
      <c r="U167" s="5"/>
      <c r="V167" s="5"/>
      <c r="W167" s="5">
        <f t="shared" si="49"/>
        <v>0</v>
      </c>
      <c r="X167" s="6"/>
      <c r="Z167" s="30">
        <f t="shared" si="43"/>
        <v>0</v>
      </c>
    </row>
    <row r="168" spans="6:26" ht="60" customHeight="1" x14ac:dyDescent="0.2">
      <c r="F168" s="50">
        <f t="shared" si="50"/>
        <v>30815</v>
      </c>
      <c r="G168" s="53" t="s">
        <v>360</v>
      </c>
      <c r="H168" s="52">
        <f>300000-I168</f>
        <v>150000</v>
      </c>
      <c r="I168" s="52">
        <v>150000</v>
      </c>
      <c r="J168" s="52"/>
      <c r="K168" s="52"/>
      <c r="L168" s="52"/>
      <c r="M168" s="52">
        <f>I168</f>
        <v>150000</v>
      </c>
      <c r="N168" s="52"/>
      <c r="O168" s="7">
        <f t="shared" si="48"/>
        <v>150000</v>
      </c>
      <c r="P168" s="5"/>
      <c r="Q168" s="5"/>
      <c r="R168" s="5"/>
      <c r="S168" s="5"/>
      <c r="T168" s="5"/>
      <c r="U168" s="5"/>
      <c r="V168" s="5"/>
      <c r="W168" s="5">
        <f t="shared" si="49"/>
        <v>0</v>
      </c>
      <c r="X168" s="6"/>
      <c r="Z168" s="30">
        <f t="shared" si="43"/>
        <v>0</v>
      </c>
    </row>
    <row r="169" spans="6:26" ht="60" customHeight="1" x14ac:dyDescent="0.2">
      <c r="F169" s="50">
        <f t="shared" si="50"/>
        <v>30816</v>
      </c>
      <c r="G169" s="53" t="s">
        <v>114</v>
      </c>
      <c r="H169" s="52">
        <f>2840000-I169</f>
        <v>2340000</v>
      </c>
      <c r="I169" s="52">
        <v>500000</v>
      </c>
      <c r="J169" s="52"/>
      <c r="K169" s="52"/>
      <c r="L169" s="52"/>
      <c r="M169" s="52">
        <f>I169/2</f>
        <v>250000</v>
      </c>
      <c r="N169" s="52">
        <f>I169-M169</f>
        <v>250000</v>
      </c>
      <c r="O169" s="7">
        <f t="shared" si="48"/>
        <v>500000</v>
      </c>
      <c r="P169" s="5"/>
      <c r="Q169" s="5"/>
      <c r="R169" s="5"/>
      <c r="S169" s="5"/>
      <c r="T169" s="5"/>
      <c r="U169" s="5"/>
      <c r="V169" s="5"/>
      <c r="W169" s="5">
        <f t="shared" si="49"/>
        <v>0</v>
      </c>
      <c r="X169" s="6">
        <f>Q169-R169-W169</f>
        <v>0</v>
      </c>
      <c r="Z169" s="30">
        <f t="shared" si="43"/>
        <v>0</v>
      </c>
    </row>
    <row r="170" spans="6:26" ht="60" customHeight="1" x14ac:dyDescent="0.2">
      <c r="F170" s="50">
        <f t="shared" si="50"/>
        <v>30817</v>
      </c>
      <c r="G170" s="53" t="s">
        <v>317</v>
      </c>
      <c r="H170" s="52">
        <f>350000+200000</f>
        <v>550000</v>
      </c>
      <c r="I170" s="52">
        <v>350000</v>
      </c>
      <c r="J170" s="52"/>
      <c r="K170" s="52"/>
      <c r="L170" s="52"/>
      <c r="M170" s="52">
        <v>100000</v>
      </c>
      <c r="N170" s="52">
        <f>I170-M170</f>
        <v>250000</v>
      </c>
      <c r="O170" s="7">
        <f t="shared" si="48"/>
        <v>350000</v>
      </c>
      <c r="P170" s="5"/>
      <c r="Q170" s="5"/>
      <c r="R170" s="5"/>
      <c r="S170" s="5"/>
      <c r="T170" s="5"/>
      <c r="U170" s="5"/>
      <c r="V170" s="5"/>
      <c r="W170" s="5">
        <f>V170+U170+T170+S170</f>
        <v>0</v>
      </c>
      <c r="X170" s="6"/>
      <c r="Z170" s="30">
        <f t="shared" si="43"/>
        <v>0</v>
      </c>
    </row>
    <row r="171" spans="6:26" ht="60" customHeight="1" x14ac:dyDescent="0.2">
      <c r="F171" s="50">
        <f t="shared" si="50"/>
        <v>30818</v>
      </c>
      <c r="G171" s="53" t="s">
        <v>436</v>
      </c>
      <c r="H171" s="52">
        <v>100000</v>
      </c>
      <c r="I171" s="52"/>
      <c r="J171" s="52"/>
      <c r="K171" s="52"/>
      <c r="L171" s="52"/>
      <c r="M171" s="52"/>
      <c r="N171" s="52"/>
      <c r="O171" s="7">
        <f t="shared" si="48"/>
        <v>0</v>
      </c>
      <c r="P171" s="5"/>
      <c r="Q171" s="5"/>
      <c r="R171" s="5"/>
      <c r="S171" s="5"/>
      <c r="T171" s="5"/>
      <c r="U171" s="5"/>
      <c r="V171" s="5"/>
      <c r="W171" s="5"/>
      <c r="X171" s="6"/>
      <c r="Z171" s="30">
        <f t="shared" si="43"/>
        <v>0</v>
      </c>
    </row>
    <row r="172" spans="6:26" ht="60" customHeight="1" x14ac:dyDescent="0.2">
      <c r="F172" s="50">
        <f t="shared" si="50"/>
        <v>30819</v>
      </c>
      <c r="G172" s="53" t="s">
        <v>437</v>
      </c>
      <c r="H172" s="52">
        <v>4500000</v>
      </c>
      <c r="I172" s="52"/>
      <c r="J172" s="52"/>
      <c r="K172" s="52"/>
      <c r="L172" s="52"/>
      <c r="M172" s="52"/>
      <c r="N172" s="52"/>
      <c r="O172" s="7">
        <f t="shared" si="48"/>
        <v>0</v>
      </c>
      <c r="P172" s="5"/>
      <c r="Q172" s="5"/>
      <c r="R172" s="5"/>
      <c r="S172" s="5"/>
      <c r="T172" s="5"/>
      <c r="U172" s="5"/>
      <c r="V172" s="5"/>
      <c r="W172" s="5"/>
      <c r="X172" s="6"/>
      <c r="Z172" s="30">
        <f t="shared" si="43"/>
        <v>0</v>
      </c>
    </row>
    <row r="173" spans="6:26" ht="60" customHeight="1" x14ac:dyDescent="0.2">
      <c r="F173" s="50">
        <f t="shared" si="50"/>
        <v>30820</v>
      </c>
      <c r="G173" s="53" t="s">
        <v>438</v>
      </c>
      <c r="H173" s="52">
        <v>1900000</v>
      </c>
      <c r="I173" s="52"/>
      <c r="J173" s="52"/>
      <c r="K173" s="52"/>
      <c r="L173" s="52"/>
      <c r="M173" s="52"/>
      <c r="N173" s="52"/>
      <c r="O173" s="7">
        <f>SUM(K173:N173)</f>
        <v>0</v>
      </c>
      <c r="P173" s="5"/>
      <c r="Q173" s="5"/>
      <c r="R173" s="5"/>
      <c r="S173" s="5"/>
      <c r="T173" s="5"/>
      <c r="U173" s="5"/>
      <c r="V173" s="5"/>
      <c r="W173" s="5"/>
      <c r="X173" s="6"/>
      <c r="Z173" s="30">
        <f t="shared" si="43"/>
        <v>0</v>
      </c>
    </row>
    <row r="174" spans="6:26" ht="60" customHeight="1" x14ac:dyDescent="0.2">
      <c r="F174" s="50">
        <f t="shared" si="50"/>
        <v>30821</v>
      </c>
      <c r="G174" s="53" t="s">
        <v>439</v>
      </c>
      <c r="H174" s="52">
        <v>2400000</v>
      </c>
      <c r="I174" s="52"/>
      <c r="J174" s="52"/>
      <c r="K174" s="52"/>
      <c r="L174" s="52"/>
      <c r="M174" s="52"/>
      <c r="N174" s="52"/>
      <c r="O174" s="7">
        <f>SUM(K174:N174)</f>
        <v>0</v>
      </c>
      <c r="P174" s="5"/>
      <c r="Q174" s="5"/>
      <c r="R174" s="5"/>
      <c r="S174" s="5"/>
      <c r="T174" s="5"/>
      <c r="U174" s="5"/>
      <c r="V174" s="5"/>
      <c r="W174" s="5"/>
      <c r="X174" s="6"/>
      <c r="Z174" s="30">
        <f t="shared" si="43"/>
        <v>0</v>
      </c>
    </row>
    <row r="175" spans="6:26" ht="60" customHeight="1" x14ac:dyDescent="0.2">
      <c r="F175" s="58"/>
      <c r="G175" s="56" t="s">
        <v>115</v>
      </c>
      <c r="H175" s="57">
        <f t="shared" ref="H175:W175" si="51">SUM(H154:H174)</f>
        <v>12740000</v>
      </c>
      <c r="I175" s="57">
        <f t="shared" si="51"/>
        <v>4950000</v>
      </c>
      <c r="J175" s="57">
        <f t="shared" si="51"/>
        <v>1000000</v>
      </c>
      <c r="K175" s="57">
        <f t="shared" si="51"/>
        <v>0</v>
      </c>
      <c r="L175" s="57">
        <f t="shared" si="51"/>
        <v>0</v>
      </c>
      <c r="M175" s="57">
        <f t="shared" si="51"/>
        <v>2250000</v>
      </c>
      <c r="N175" s="57">
        <f t="shared" si="51"/>
        <v>1700000</v>
      </c>
      <c r="O175" s="6">
        <f t="shared" si="51"/>
        <v>3950000</v>
      </c>
      <c r="P175" s="6">
        <f t="shared" si="51"/>
        <v>0</v>
      </c>
      <c r="Q175" s="6">
        <f t="shared" si="51"/>
        <v>0</v>
      </c>
      <c r="R175" s="6">
        <f t="shared" si="51"/>
        <v>0</v>
      </c>
      <c r="S175" s="6">
        <f t="shared" si="51"/>
        <v>0</v>
      </c>
      <c r="T175" s="6">
        <f t="shared" si="51"/>
        <v>0</v>
      </c>
      <c r="U175" s="6">
        <f t="shared" si="51"/>
        <v>0</v>
      </c>
      <c r="V175" s="6">
        <f t="shared" si="51"/>
        <v>0</v>
      </c>
      <c r="W175" s="6">
        <f t="shared" si="51"/>
        <v>0</v>
      </c>
      <c r="X175" s="6">
        <f t="shared" ref="X175:X206" si="52">Q175-R175-W175</f>
        <v>0</v>
      </c>
      <c r="Z175" s="30">
        <f t="shared" si="43"/>
        <v>0</v>
      </c>
    </row>
    <row r="176" spans="6:26" ht="60" customHeight="1" x14ac:dyDescent="0.2">
      <c r="F176" s="50">
        <v>30900</v>
      </c>
      <c r="G176" s="51" t="s">
        <v>116</v>
      </c>
      <c r="H176" s="52"/>
      <c r="I176" s="52"/>
      <c r="J176" s="52"/>
      <c r="K176" s="52"/>
      <c r="L176" s="52"/>
      <c r="M176" s="52"/>
      <c r="N176" s="52"/>
      <c r="O176" s="5"/>
      <c r="P176" s="5"/>
      <c r="Q176" s="5"/>
      <c r="R176" s="5"/>
      <c r="S176" s="5"/>
      <c r="T176" s="5"/>
      <c r="U176" s="5"/>
      <c r="V176" s="5"/>
      <c r="W176" s="5"/>
      <c r="X176" s="6">
        <f t="shared" si="52"/>
        <v>0</v>
      </c>
      <c r="Z176" s="30">
        <f t="shared" si="43"/>
        <v>0</v>
      </c>
    </row>
    <row r="177" spans="6:26" ht="60" customHeight="1" x14ac:dyDescent="0.2">
      <c r="F177" s="50">
        <f>+F176+1</f>
        <v>30901</v>
      </c>
      <c r="G177" s="53" t="s">
        <v>117</v>
      </c>
      <c r="H177" s="52">
        <f>700000-I177</f>
        <v>150000</v>
      </c>
      <c r="I177" s="52">
        <v>550000</v>
      </c>
      <c r="J177" s="52"/>
      <c r="K177" s="52"/>
      <c r="L177" s="52"/>
      <c r="M177" s="52"/>
      <c r="N177" s="52">
        <f>I177</f>
        <v>550000</v>
      </c>
      <c r="O177" s="7">
        <f>SUM(K177:N177)</f>
        <v>550000</v>
      </c>
      <c r="P177" s="5"/>
      <c r="Q177" s="5"/>
      <c r="R177" s="5"/>
      <c r="S177" s="5"/>
      <c r="T177" s="5"/>
      <c r="U177" s="5"/>
      <c r="V177" s="5"/>
      <c r="W177" s="5">
        <f>V177+U177+T177+S177</f>
        <v>0</v>
      </c>
      <c r="X177" s="6">
        <f t="shared" si="52"/>
        <v>0</v>
      </c>
      <c r="Z177" s="30">
        <f t="shared" si="43"/>
        <v>0</v>
      </c>
    </row>
    <row r="178" spans="6:26" ht="60" customHeight="1" x14ac:dyDescent="0.2">
      <c r="F178" s="50">
        <f>+F177+1</f>
        <v>30902</v>
      </c>
      <c r="G178" s="53" t="s">
        <v>358</v>
      </c>
      <c r="H178" s="52">
        <v>550000</v>
      </c>
      <c r="I178" s="52"/>
      <c r="J178" s="52"/>
      <c r="K178" s="52"/>
      <c r="L178" s="52"/>
      <c r="M178" s="52"/>
      <c r="N178" s="52"/>
      <c r="O178" s="7">
        <f>SUM(K178:N178)</f>
        <v>0</v>
      </c>
      <c r="P178" s="5"/>
      <c r="Q178" s="5"/>
      <c r="R178" s="5"/>
      <c r="S178" s="5"/>
      <c r="T178" s="5"/>
      <c r="U178" s="5"/>
      <c r="V178" s="5"/>
      <c r="W178" s="5">
        <f>V178+U178+T178+S178</f>
        <v>0</v>
      </c>
      <c r="X178" s="6">
        <f t="shared" si="52"/>
        <v>0</v>
      </c>
      <c r="Z178" s="30">
        <f t="shared" si="43"/>
        <v>0</v>
      </c>
    </row>
    <row r="179" spans="6:26" ht="60" customHeight="1" x14ac:dyDescent="0.2">
      <c r="F179" s="50">
        <f>+F178+1</f>
        <v>30903</v>
      </c>
      <c r="G179" s="53" t="s">
        <v>441</v>
      </c>
      <c r="H179" s="52">
        <f>240000-I179</f>
        <v>40000</v>
      </c>
      <c r="I179" s="52">
        <v>200000</v>
      </c>
      <c r="J179" s="52"/>
      <c r="K179" s="52"/>
      <c r="L179" s="52"/>
      <c r="M179" s="52"/>
      <c r="N179" s="52">
        <f>I179-M179</f>
        <v>200000</v>
      </c>
      <c r="O179" s="7">
        <f>SUM(K179:N179)</f>
        <v>200000</v>
      </c>
      <c r="P179" s="5"/>
      <c r="Q179" s="5"/>
      <c r="R179" s="5"/>
      <c r="S179" s="5"/>
      <c r="T179" s="5"/>
      <c r="U179" s="5"/>
      <c r="V179" s="5"/>
      <c r="W179" s="5">
        <f>V179+U179+T179+S179</f>
        <v>0</v>
      </c>
      <c r="X179" s="6"/>
      <c r="Z179" s="30">
        <f t="shared" si="43"/>
        <v>0</v>
      </c>
    </row>
    <row r="180" spans="6:26" ht="60" customHeight="1" x14ac:dyDescent="0.2">
      <c r="F180" s="50">
        <f>+F179+1</f>
        <v>30904</v>
      </c>
      <c r="G180" s="53" t="s">
        <v>118</v>
      </c>
      <c r="H180" s="52">
        <f>500000-I180</f>
        <v>100000</v>
      </c>
      <c r="I180" s="52">
        <v>400000</v>
      </c>
      <c r="J180" s="52"/>
      <c r="K180" s="52"/>
      <c r="L180" s="52"/>
      <c r="M180" s="52">
        <f>I180/2</f>
        <v>200000</v>
      </c>
      <c r="N180" s="52">
        <f>I180-M180</f>
        <v>200000</v>
      </c>
      <c r="O180" s="7">
        <f>SUM(K180:N180)</f>
        <v>400000</v>
      </c>
      <c r="P180" s="5"/>
      <c r="Q180" s="5"/>
      <c r="R180" s="5"/>
      <c r="S180" s="5"/>
      <c r="T180" s="5"/>
      <c r="U180" s="5"/>
      <c r="V180" s="5"/>
      <c r="W180" s="5">
        <f>V180+U180+T180+S180</f>
        <v>0</v>
      </c>
      <c r="X180" s="6">
        <f t="shared" si="52"/>
        <v>0</v>
      </c>
      <c r="Z180" s="30">
        <f t="shared" si="43"/>
        <v>0</v>
      </c>
    </row>
    <row r="181" spans="6:26" ht="60" customHeight="1" x14ac:dyDescent="0.2">
      <c r="F181" s="50">
        <f>+F180+1</f>
        <v>30905</v>
      </c>
      <c r="G181" s="53" t="s">
        <v>440</v>
      </c>
      <c r="H181" s="52">
        <f>300000-I181</f>
        <v>100000</v>
      </c>
      <c r="I181" s="52">
        <v>200000</v>
      </c>
      <c r="J181" s="52"/>
      <c r="K181" s="52"/>
      <c r="L181" s="52"/>
      <c r="M181" s="52">
        <f>I181/2</f>
        <v>100000</v>
      </c>
      <c r="N181" s="52">
        <f>I181-M181</f>
        <v>100000</v>
      </c>
      <c r="O181" s="7">
        <f>SUM(K181:N181)</f>
        <v>200000</v>
      </c>
      <c r="P181" s="5"/>
      <c r="Q181" s="5"/>
      <c r="R181" s="5"/>
      <c r="S181" s="5"/>
      <c r="T181" s="5"/>
      <c r="U181" s="5"/>
      <c r="V181" s="5"/>
      <c r="W181" s="5">
        <f>V181+U181+T181+S181</f>
        <v>0</v>
      </c>
      <c r="X181" s="6">
        <f t="shared" si="52"/>
        <v>0</v>
      </c>
      <c r="Z181" s="30">
        <f t="shared" si="43"/>
        <v>0</v>
      </c>
    </row>
    <row r="182" spans="6:26" ht="60" customHeight="1" x14ac:dyDescent="0.2">
      <c r="F182" s="58"/>
      <c r="G182" s="56" t="s">
        <v>119</v>
      </c>
      <c r="H182" s="57">
        <f t="shared" ref="H182:W182" si="53">SUM(H177:H181)</f>
        <v>940000</v>
      </c>
      <c r="I182" s="57">
        <f t="shared" si="53"/>
        <v>1350000</v>
      </c>
      <c r="J182" s="57">
        <f t="shared" si="53"/>
        <v>0</v>
      </c>
      <c r="K182" s="57">
        <f t="shared" si="53"/>
        <v>0</v>
      </c>
      <c r="L182" s="57">
        <f t="shared" si="53"/>
        <v>0</v>
      </c>
      <c r="M182" s="57">
        <f t="shared" si="53"/>
        <v>300000</v>
      </c>
      <c r="N182" s="57">
        <f t="shared" si="53"/>
        <v>1050000</v>
      </c>
      <c r="O182" s="6">
        <f t="shared" si="53"/>
        <v>1350000</v>
      </c>
      <c r="P182" s="6">
        <f t="shared" si="53"/>
        <v>0</v>
      </c>
      <c r="Q182" s="6">
        <f t="shared" si="53"/>
        <v>0</v>
      </c>
      <c r="R182" s="6">
        <f t="shared" si="53"/>
        <v>0</v>
      </c>
      <c r="S182" s="6">
        <f t="shared" si="53"/>
        <v>0</v>
      </c>
      <c r="T182" s="6">
        <f t="shared" si="53"/>
        <v>0</v>
      </c>
      <c r="U182" s="6">
        <f t="shared" si="53"/>
        <v>0</v>
      </c>
      <c r="V182" s="6">
        <f t="shared" si="53"/>
        <v>0</v>
      </c>
      <c r="W182" s="6">
        <f t="shared" si="53"/>
        <v>0</v>
      </c>
      <c r="X182" s="6">
        <f t="shared" si="52"/>
        <v>0</v>
      </c>
      <c r="Z182" s="30">
        <f t="shared" si="43"/>
        <v>0</v>
      </c>
    </row>
    <row r="183" spans="6:26" ht="60" customHeight="1" x14ac:dyDescent="0.2">
      <c r="F183" s="55"/>
      <c r="G183" s="56" t="s">
        <v>120</v>
      </c>
      <c r="H183" s="57">
        <f t="shared" ref="H183:W183" si="54">H182+H175+H152</f>
        <v>18530000</v>
      </c>
      <c r="I183" s="57">
        <f t="shared" si="54"/>
        <v>70520000</v>
      </c>
      <c r="J183" s="57">
        <f t="shared" si="54"/>
        <v>33440000</v>
      </c>
      <c r="K183" s="57">
        <f t="shared" si="54"/>
        <v>5000000</v>
      </c>
      <c r="L183" s="57">
        <f t="shared" si="54"/>
        <v>0</v>
      </c>
      <c r="M183" s="57">
        <f t="shared" si="54"/>
        <v>14805000</v>
      </c>
      <c r="N183" s="57">
        <f t="shared" si="54"/>
        <v>17275000</v>
      </c>
      <c r="O183" s="6">
        <f t="shared" si="54"/>
        <v>31080000</v>
      </c>
      <c r="P183" s="6">
        <f t="shared" si="54"/>
        <v>0</v>
      </c>
      <c r="Q183" s="6">
        <f t="shared" si="54"/>
        <v>0</v>
      </c>
      <c r="R183" s="6">
        <f t="shared" si="54"/>
        <v>0</v>
      </c>
      <c r="S183" s="6">
        <f t="shared" si="54"/>
        <v>0</v>
      </c>
      <c r="T183" s="6">
        <f t="shared" si="54"/>
        <v>0</v>
      </c>
      <c r="U183" s="6">
        <f t="shared" si="54"/>
        <v>0</v>
      </c>
      <c r="V183" s="6">
        <f t="shared" si="54"/>
        <v>0</v>
      </c>
      <c r="W183" s="6">
        <f t="shared" si="54"/>
        <v>0</v>
      </c>
      <c r="X183" s="6">
        <f t="shared" si="52"/>
        <v>0</v>
      </c>
      <c r="Z183" s="30">
        <f t="shared" si="43"/>
        <v>0</v>
      </c>
    </row>
    <row r="184" spans="6:26" ht="60" customHeight="1" x14ac:dyDescent="0.2">
      <c r="F184" s="50"/>
      <c r="G184" s="51" t="s">
        <v>121</v>
      </c>
      <c r="H184" s="59"/>
      <c r="I184" s="52"/>
      <c r="J184" s="52"/>
      <c r="K184" s="52"/>
      <c r="L184" s="52"/>
      <c r="M184" s="52"/>
      <c r="N184" s="52"/>
      <c r="O184" s="9"/>
      <c r="P184" s="9"/>
      <c r="Q184" s="9"/>
      <c r="R184" s="9"/>
      <c r="S184" s="9"/>
      <c r="T184" s="9"/>
      <c r="U184" s="9"/>
      <c r="V184" s="9"/>
      <c r="W184" s="5"/>
      <c r="X184" s="6">
        <f t="shared" si="52"/>
        <v>0</v>
      </c>
      <c r="Z184" s="30">
        <f t="shared" si="43"/>
        <v>0</v>
      </c>
    </row>
    <row r="185" spans="6:26" ht="60" customHeight="1" x14ac:dyDescent="0.2">
      <c r="F185" s="50">
        <v>40100</v>
      </c>
      <c r="G185" s="51" t="s">
        <v>122</v>
      </c>
      <c r="H185" s="59"/>
      <c r="I185" s="52"/>
      <c r="J185" s="52"/>
      <c r="K185" s="52"/>
      <c r="L185" s="52"/>
      <c r="M185" s="52"/>
      <c r="N185" s="52"/>
      <c r="O185" s="9"/>
      <c r="P185" s="9"/>
      <c r="Q185" s="9"/>
      <c r="R185" s="9"/>
      <c r="S185" s="9"/>
      <c r="T185" s="9"/>
      <c r="U185" s="9"/>
      <c r="V185" s="9"/>
      <c r="W185" s="5"/>
      <c r="X185" s="6">
        <f t="shared" si="52"/>
        <v>0</v>
      </c>
      <c r="Z185" s="30">
        <f t="shared" si="43"/>
        <v>0</v>
      </c>
    </row>
    <row r="186" spans="6:26" ht="60" customHeight="1" x14ac:dyDescent="0.2">
      <c r="F186" s="50">
        <f t="shared" ref="F186:F191" si="55">+F185+1</f>
        <v>40101</v>
      </c>
      <c r="G186" s="53" t="s">
        <v>123</v>
      </c>
      <c r="H186" s="52">
        <f>2600000-I186</f>
        <v>2100000</v>
      </c>
      <c r="I186" s="52">
        <v>500000</v>
      </c>
      <c r="J186" s="52"/>
      <c r="K186" s="52"/>
      <c r="L186" s="52"/>
      <c r="M186" s="59"/>
      <c r="N186" s="52">
        <f>I186</f>
        <v>500000</v>
      </c>
      <c r="O186" s="7">
        <f>SUM(K186:N186)</f>
        <v>500000</v>
      </c>
      <c r="P186" s="5"/>
      <c r="Q186" s="9"/>
      <c r="R186" s="9"/>
      <c r="S186" s="9"/>
      <c r="T186" s="9"/>
      <c r="U186" s="9"/>
      <c r="V186" s="9"/>
      <c r="W186" s="5">
        <f>V186+U186+T186+S186</f>
        <v>0</v>
      </c>
      <c r="X186" s="6">
        <f t="shared" si="52"/>
        <v>0</v>
      </c>
      <c r="Z186" s="30">
        <f t="shared" si="43"/>
        <v>0</v>
      </c>
    </row>
    <row r="187" spans="6:26" ht="60" customHeight="1" x14ac:dyDescent="0.2">
      <c r="F187" s="50">
        <f t="shared" si="55"/>
        <v>40102</v>
      </c>
      <c r="G187" s="53" t="s">
        <v>124</v>
      </c>
      <c r="H187" s="59">
        <f>1500000-I187</f>
        <v>1300000</v>
      </c>
      <c r="I187" s="52">
        <v>200000</v>
      </c>
      <c r="J187" s="52"/>
      <c r="K187" s="52">
        <f>I187</f>
        <v>200000</v>
      </c>
      <c r="L187" s="52"/>
      <c r="M187" s="59"/>
      <c r="N187" s="52"/>
      <c r="O187" s="7">
        <f>SUM(K187:N187)</f>
        <v>200000</v>
      </c>
      <c r="P187" s="5"/>
      <c r="Q187" s="9"/>
      <c r="R187" s="9"/>
      <c r="S187" s="9"/>
      <c r="T187" s="9"/>
      <c r="U187" s="9"/>
      <c r="V187" s="9"/>
      <c r="W187" s="5">
        <f>V187+U187+T187+S187</f>
        <v>0</v>
      </c>
      <c r="X187" s="6">
        <f t="shared" si="52"/>
        <v>0</v>
      </c>
      <c r="Z187" s="30">
        <f t="shared" si="43"/>
        <v>0</v>
      </c>
    </row>
    <row r="188" spans="6:26" ht="60" customHeight="1" x14ac:dyDescent="0.2">
      <c r="F188" s="50">
        <f t="shared" si="55"/>
        <v>40103</v>
      </c>
      <c r="G188" s="53" t="s">
        <v>295</v>
      </c>
      <c r="H188" s="59">
        <f>300000-I188</f>
        <v>100000</v>
      </c>
      <c r="I188" s="52">
        <v>200000</v>
      </c>
      <c r="J188" s="52"/>
      <c r="K188" s="52"/>
      <c r="L188" s="52"/>
      <c r="M188" s="59">
        <f>I188</f>
        <v>200000</v>
      </c>
      <c r="N188" s="52"/>
      <c r="O188" s="7">
        <f>SUM(K188:N188)</f>
        <v>200000</v>
      </c>
      <c r="P188" s="5"/>
      <c r="Q188" s="9"/>
      <c r="R188" s="9"/>
      <c r="S188" s="9"/>
      <c r="T188" s="9"/>
      <c r="U188" s="9"/>
      <c r="V188" s="9"/>
      <c r="W188" s="5">
        <f>V188+U188+T188+S188</f>
        <v>0</v>
      </c>
      <c r="X188" s="6">
        <f t="shared" si="52"/>
        <v>0</v>
      </c>
      <c r="Z188" s="30">
        <f t="shared" si="43"/>
        <v>0</v>
      </c>
    </row>
    <row r="189" spans="6:26" ht="60" customHeight="1" x14ac:dyDescent="0.2">
      <c r="F189" s="50">
        <f t="shared" si="55"/>
        <v>40104</v>
      </c>
      <c r="G189" s="53" t="s">
        <v>125</v>
      </c>
      <c r="H189" s="59"/>
      <c r="I189" s="52">
        <v>30000</v>
      </c>
      <c r="J189" s="52"/>
      <c r="K189" s="52"/>
      <c r="L189" s="52">
        <f>I189</f>
        <v>30000</v>
      </c>
      <c r="M189" s="59"/>
      <c r="N189" s="52"/>
      <c r="O189" s="7">
        <f>SUM(K189:N189)</f>
        <v>30000</v>
      </c>
      <c r="P189" s="5"/>
      <c r="Q189" s="9"/>
      <c r="R189" s="9"/>
      <c r="S189" s="9"/>
      <c r="T189" s="9"/>
      <c r="U189" s="9"/>
      <c r="V189" s="9"/>
      <c r="W189" s="5">
        <f>V189+U189+T189+S189</f>
        <v>0</v>
      </c>
      <c r="X189" s="6">
        <f t="shared" si="52"/>
        <v>0</v>
      </c>
      <c r="Z189" s="30">
        <f t="shared" si="43"/>
        <v>0</v>
      </c>
    </row>
    <row r="190" spans="6:26" ht="60" customHeight="1" x14ac:dyDescent="0.2">
      <c r="F190" s="50">
        <f t="shared" si="55"/>
        <v>40105</v>
      </c>
      <c r="G190" s="53" t="s">
        <v>481</v>
      </c>
      <c r="H190" s="59">
        <v>4000000</v>
      </c>
      <c r="I190" s="52">
        <v>3200000</v>
      </c>
      <c r="J190" s="52">
        <v>1300000</v>
      </c>
      <c r="K190" s="52"/>
      <c r="L190" s="52"/>
      <c r="M190" s="59"/>
      <c r="N190" s="52">
        <f>I190-J190</f>
        <v>1900000</v>
      </c>
      <c r="O190" s="7"/>
      <c r="P190" s="5"/>
      <c r="Q190" s="9"/>
      <c r="R190" s="9"/>
      <c r="S190" s="9"/>
      <c r="T190" s="9"/>
      <c r="U190" s="9"/>
      <c r="V190" s="9"/>
      <c r="W190" s="5"/>
      <c r="X190" s="6"/>
      <c r="Z190" s="30"/>
    </row>
    <row r="191" spans="6:26" ht="60" customHeight="1" x14ac:dyDescent="0.2">
      <c r="F191" s="50">
        <f t="shared" si="55"/>
        <v>40106</v>
      </c>
      <c r="G191" s="53" t="s">
        <v>364</v>
      </c>
      <c r="H191" s="59"/>
      <c r="I191" s="52">
        <v>55000</v>
      </c>
      <c r="J191" s="52"/>
      <c r="K191" s="52"/>
      <c r="L191" s="52"/>
      <c r="M191" s="59">
        <f>I191</f>
        <v>55000</v>
      </c>
      <c r="N191" s="52"/>
      <c r="O191" s="7">
        <f>SUM(K191:N191)</f>
        <v>55000</v>
      </c>
      <c r="P191" s="5"/>
      <c r="Q191" s="9"/>
      <c r="R191" s="9"/>
      <c r="S191" s="9"/>
      <c r="T191" s="9"/>
      <c r="U191" s="9"/>
      <c r="V191" s="9"/>
      <c r="W191" s="5"/>
      <c r="X191" s="6"/>
      <c r="Z191" s="30">
        <f t="shared" si="43"/>
        <v>0</v>
      </c>
    </row>
    <row r="192" spans="6:26" ht="60" customHeight="1" x14ac:dyDescent="0.2">
      <c r="F192" s="58"/>
      <c r="G192" s="56" t="s">
        <v>126</v>
      </c>
      <c r="H192" s="57">
        <f t="shared" ref="H192:W192" si="56">SUM(H186:H191)</f>
        <v>7500000</v>
      </c>
      <c r="I192" s="57">
        <f t="shared" si="56"/>
        <v>4185000</v>
      </c>
      <c r="J192" s="57">
        <f t="shared" si="56"/>
        <v>1300000</v>
      </c>
      <c r="K192" s="57">
        <f t="shared" si="56"/>
        <v>200000</v>
      </c>
      <c r="L192" s="57">
        <f t="shared" si="56"/>
        <v>30000</v>
      </c>
      <c r="M192" s="57">
        <f t="shared" si="56"/>
        <v>255000</v>
      </c>
      <c r="N192" s="57">
        <f t="shared" si="56"/>
        <v>2400000</v>
      </c>
      <c r="O192" s="6">
        <f t="shared" si="56"/>
        <v>985000</v>
      </c>
      <c r="P192" s="6">
        <f t="shared" si="56"/>
        <v>0</v>
      </c>
      <c r="Q192" s="6">
        <f t="shared" si="56"/>
        <v>0</v>
      </c>
      <c r="R192" s="6">
        <f t="shared" si="56"/>
        <v>0</v>
      </c>
      <c r="S192" s="6">
        <f t="shared" si="56"/>
        <v>0</v>
      </c>
      <c r="T192" s="6">
        <f t="shared" si="56"/>
        <v>0</v>
      </c>
      <c r="U192" s="6">
        <f t="shared" si="56"/>
        <v>0</v>
      </c>
      <c r="V192" s="6">
        <f t="shared" si="56"/>
        <v>0</v>
      </c>
      <c r="W192" s="6">
        <f t="shared" si="56"/>
        <v>0</v>
      </c>
      <c r="X192" s="6">
        <f t="shared" si="52"/>
        <v>0</v>
      </c>
      <c r="Z192" s="30">
        <f t="shared" si="43"/>
        <v>0</v>
      </c>
    </row>
    <row r="193" spans="6:26" ht="60" customHeight="1" x14ac:dyDescent="0.2">
      <c r="F193" s="50">
        <v>40200</v>
      </c>
      <c r="G193" s="51" t="s">
        <v>127</v>
      </c>
      <c r="H193" s="59"/>
      <c r="I193" s="52"/>
      <c r="J193" s="52"/>
      <c r="K193" s="52"/>
      <c r="L193" s="52"/>
      <c r="M193" s="59"/>
      <c r="N193" s="52"/>
      <c r="O193" s="5"/>
      <c r="P193" s="5"/>
      <c r="Q193" s="5"/>
      <c r="R193" s="5"/>
      <c r="S193" s="5"/>
      <c r="T193" s="5"/>
      <c r="U193" s="5"/>
      <c r="V193" s="5"/>
      <c r="W193" s="5"/>
      <c r="X193" s="6">
        <f t="shared" si="52"/>
        <v>0</v>
      </c>
      <c r="Z193" s="30">
        <f t="shared" si="43"/>
        <v>0</v>
      </c>
    </row>
    <row r="194" spans="6:26" ht="60" customHeight="1" x14ac:dyDescent="0.2">
      <c r="F194" s="50">
        <f t="shared" ref="F194:F222" si="57">+F193+1</f>
        <v>40201</v>
      </c>
      <c r="G194" s="53" t="s">
        <v>128</v>
      </c>
      <c r="H194" s="60">
        <f>8980000-I194</f>
        <v>6480000</v>
      </c>
      <c r="I194" s="52">
        <v>2500000</v>
      </c>
      <c r="J194" s="52"/>
      <c r="K194" s="52"/>
      <c r="L194" s="52"/>
      <c r="M194" s="59">
        <f t="shared" ref="M194:M199" si="58">I194</f>
        <v>2500000</v>
      </c>
      <c r="N194" s="52"/>
      <c r="O194" s="7">
        <f t="shared" ref="O194:O222" si="59">SUM(K194:N194)</f>
        <v>2500000</v>
      </c>
      <c r="P194" s="5"/>
      <c r="Q194" s="5"/>
      <c r="R194" s="5"/>
      <c r="S194" s="5"/>
      <c r="T194" s="5"/>
      <c r="U194" s="5"/>
      <c r="V194" s="5"/>
      <c r="W194" s="5">
        <f t="shared" ref="W194:W222" si="60">V194+U194+T194+S194</f>
        <v>0</v>
      </c>
      <c r="X194" s="6">
        <f t="shared" si="52"/>
        <v>0</v>
      </c>
      <c r="Z194" s="30">
        <f t="shared" si="43"/>
        <v>0</v>
      </c>
    </row>
    <row r="195" spans="6:26" ht="60" customHeight="1" x14ac:dyDescent="0.2">
      <c r="F195" s="50">
        <f t="shared" si="57"/>
        <v>40202</v>
      </c>
      <c r="G195" s="53" t="s">
        <v>129</v>
      </c>
      <c r="H195" s="60">
        <f>1500000-I195</f>
        <v>300000</v>
      </c>
      <c r="I195" s="52">
        <v>1200000</v>
      </c>
      <c r="J195" s="52"/>
      <c r="K195" s="52"/>
      <c r="L195" s="52"/>
      <c r="M195" s="59">
        <f t="shared" si="58"/>
        <v>1200000</v>
      </c>
      <c r="N195" s="52"/>
      <c r="O195" s="7">
        <f t="shared" si="59"/>
        <v>1200000</v>
      </c>
      <c r="P195" s="5"/>
      <c r="Q195" s="5"/>
      <c r="R195" s="5"/>
      <c r="S195" s="5"/>
      <c r="T195" s="5"/>
      <c r="U195" s="5"/>
      <c r="V195" s="5"/>
      <c r="W195" s="5">
        <f t="shared" si="60"/>
        <v>0</v>
      </c>
      <c r="X195" s="6">
        <f t="shared" si="52"/>
        <v>0</v>
      </c>
      <c r="Z195" s="30">
        <f t="shared" si="43"/>
        <v>0</v>
      </c>
    </row>
    <row r="196" spans="6:26" ht="60" customHeight="1" x14ac:dyDescent="0.2">
      <c r="F196" s="50">
        <f t="shared" si="57"/>
        <v>40203</v>
      </c>
      <c r="G196" s="53" t="s">
        <v>375</v>
      </c>
      <c r="H196" s="60"/>
      <c r="I196" s="52">
        <v>200000</v>
      </c>
      <c r="J196" s="52"/>
      <c r="K196" s="52"/>
      <c r="L196" s="52"/>
      <c r="M196" s="59">
        <f t="shared" si="58"/>
        <v>200000</v>
      </c>
      <c r="N196" s="52"/>
      <c r="O196" s="7">
        <f t="shared" si="59"/>
        <v>200000</v>
      </c>
      <c r="P196" s="5"/>
      <c r="Q196" s="5"/>
      <c r="R196" s="5"/>
      <c r="S196" s="5"/>
      <c r="T196" s="5"/>
      <c r="U196" s="5"/>
      <c r="V196" s="5"/>
      <c r="W196" s="5">
        <f t="shared" si="60"/>
        <v>0</v>
      </c>
      <c r="X196" s="6">
        <f t="shared" si="52"/>
        <v>0</v>
      </c>
      <c r="Z196" s="30">
        <f t="shared" si="43"/>
        <v>0</v>
      </c>
    </row>
    <row r="197" spans="6:26" ht="60" customHeight="1" x14ac:dyDescent="0.2">
      <c r="F197" s="50">
        <f t="shared" si="57"/>
        <v>40204</v>
      </c>
      <c r="G197" s="53" t="s">
        <v>343</v>
      </c>
      <c r="H197" s="52"/>
      <c r="I197" s="52">
        <v>55000000</v>
      </c>
      <c r="J197" s="52"/>
      <c r="K197" s="52"/>
      <c r="L197" s="52"/>
      <c r="M197" s="59">
        <f t="shared" si="58"/>
        <v>55000000</v>
      </c>
      <c r="N197" s="52"/>
      <c r="O197" s="7">
        <f t="shared" si="59"/>
        <v>55000000</v>
      </c>
      <c r="P197" s="5"/>
      <c r="Q197" s="5">
        <v>52900000</v>
      </c>
      <c r="R197" s="5"/>
      <c r="S197" s="5"/>
      <c r="T197" s="5"/>
      <c r="U197" s="5">
        <f>Q197</f>
        <v>52900000</v>
      </c>
      <c r="V197" s="5"/>
      <c r="W197" s="5">
        <f t="shared" si="60"/>
        <v>52900000</v>
      </c>
      <c r="X197" s="6">
        <f t="shared" si="52"/>
        <v>0</v>
      </c>
      <c r="Z197" s="30">
        <f t="shared" si="43"/>
        <v>0</v>
      </c>
    </row>
    <row r="198" spans="6:26" ht="60" customHeight="1" x14ac:dyDescent="0.2">
      <c r="F198" s="50">
        <f t="shared" si="57"/>
        <v>40205</v>
      </c>
      <c r="G198" s="53" t="s">
        <v>342</v>
      </c>
      <c r="H198" s="52"/>
      <c r="I198" s="52">
        <v>100000</v>
      </c>
      <c r="J198" s="52"/>
      <c r="K198" s="52"/>
      <c r="L198" s="52"/>
      <c r="M198" s="59">
        <f t="shared" si="58"/>
        <v>100000</v>
      </c>
      <c r="N198" s="52"/>
      <c r="O198" s="7">
        <f t="shared" si="59"/>
        <v>100000</v>
      </c>
      <c r="P198" s="5"/>
      <c r="Q198" s="5"/>
      <c r="R198" s="5"/>
      <c r="S198" s="5"/>
      <c r="T198" s="5"/>
      <c r="U198" s="5"/>
      <c r="V198" s="5"/>
      <c r="W198" s="5">
        <f t="shared" si="60"/>
        <v>0</v>
      </c>
      <c r="X198" s="6"/>
      <c r="Z198" s="30">
        <f t="shared" si="43"/>
        <v>0</v>
      </c>
    </row>
    <row r="199" spans="6:26" ht="60" customHeight="1" x14ac:dyDescent="0.2">
      <c r="F199" s="50">
        <f t="shared" si="57"/>
        <v>40206</v>
      </c>
      <c r="G199" s="53" t="s">
        <v>374</v>
      </c>
      <c r="H199" s="59"/>
      <c r="I199" s="52">
        <v>30000</v>
      </c>
      <c r="J199" s="52"/>
      <c r="K199" s="52"/>
      <c r="L199" s="52"/>
      <c r="M199" s="59">
        <f t="shared" si="58"/>
        <v>30000</v>
      </c>
      <c r="N199" s="52"/>
      <c r="O199" s="7">
        <f t="shared" si="59"/>
        <v>30000</v>
      </c>
      <c r="P199" s="5"/>
      <c r="Q199" s="5"/>
      <c r="R199" s="5"/>
      <c r="S199" s="5"/>
      <c r="T199" s="5"/>
      <c r="U199" s="5"/>
      <c r="V199" s="5"/>
      <c r="W199" s="5">
        <f t="shared" si="60"/>
        <v>0</v>
      </c>
      <c r="X199" s="6">
        <f t="shared" si="52"/>
        <v>0</v>
      </c>
      <c r="Z199" s="30">
        <f t="shared" si="43"/>
        <v>0</v>
      </c>
    </row>
    <row r="200" spans="6:26" ht="60" customHeight="1" x14ac:dyDescent="0.2">
      <c r="F200" s="50">
        <f t="shared" si="57"/>
        <v>40207</v>
      </c>
      <c r="G200" s="53" t="s">
        <v>130</v>
      </c>
      <c r="H200" s="60">
        <v>200000</v>
      </c>
      <c r="I200" s="52"/>
      <c r="J200" s="52"/>
      <c r="K200" s="52"/>
      <c r="L200" s="52"/>
      <c r="M200" s="59"/>
      <c r="N200" s="52"/>
      <c r="O200" s="7">
        <f t="shared" si="59"/>
        <v>0</v>
      </c>
      <c r="P200" s="5"/>
      <c r="Q200" s="5"/>
      <c r="R200" s="5"/>
      <c r="S200" s="5"/>
      <c r="T200" s="5"/>
      <c r="U200" s="5"/>
      <c r="V200" s="5"/>
      <c r="W200" s="5">
        <f t="shared" si="60"/>
        <v>0</v>
      </c>
      <c r="X200" s="6">
        <f t="shared" si="52"/>
        <v>0</v>
      </c>
      <c r="Z200" s="30">
        <f t="shared" si="43"/>
        <v>0</v>
      </c>
    </row>
    <row r="201" spans="6:26" ht="60" customHeight="1" x14ac:dyDescent="0.2">
      <c r="F201" s="50">
        <f t="shared" si="57"/>
        <v>40208</v>
      </c>
      <c r="G201" s="53" t="s">
        <v>131</v>
      </c>
      <c r="H201" s="60"/>
      <c r="I201" s="52">
        <v>350000</v>
      </c>
      <c r="J201" s="52"/>
      <c r="K201" s="52"/>
      <c r="L201" s="52"/>
      <c r="M201" s="59">
        <f>I201</f>
        <v>350000</v>
      </c>
      <c r="N201" s="52"/>
      <c r="O201" s="7">
        <f t="shared" si="59"/>
        <v>350000</v>
      </c>
      <c r="P201" s="5"/>
      <c r="Q201" s="10"/>
      <c r="R201" s="10"/>
      <c r="S201" s="10"/>
      <c r="T201" s="10"/>
      <c r="U201" s="5"/>
      <c r="V201" s="10"/>
      <c r="W201" s="5">
        <f t="shared" si="60"/>
        <v>0</v>
      </c>
      <c r="X201" s="6">
        <f t="shared" si="52"/>
        <v>0</v>
      </c>
      <c r="Z201" s="30">
        <f t="shared" si="43"/>
        <v>0</v>
      </c>
    </row>
    <row r="202" spans="6:26" ht="60" customHeight="1" x14ac:dyDescent="0.2">
      <c r="F202" s="50">
        <f t="shared" si="57"/>
        <v>40209</v>
      </c>
      <c r="G202" s="53" t="s">
        <v>372</v>
      </c>
      <c r="H202" s="60"/>
      <c r="I202" s="52">
        <f>350000+20000</f>
        <v>370000</v>
      </c>
      <c r="J202" s="52"/>
      <c r="K202" s="52"/>
      <c r="L202" s="52"/>
      <c r="M202" s="59">
        <f>I202-N202</f>
        <v>270000</v>
      </c>
      <c r="N202" s="52">
        <v>100000</v>
      </c>
      <c r="O202" s="7">
        <f t="shared" si="59"/>
        <v>370000</v>
      </c>
      <c r="P202" s="5"/>
      <c r="Q202" s="10"/>
      <c r="R202" s="10"/>
      <c r="S202" s="10"/>
      <c r="T202" s="10"/>
      <c r="U202" s="5"/>
      <c r="V202" s="10"/>
      <c r="W202" s="5">
        <f t="shared" si="60"/>
        <v>0</v>
      </c>
      <c r="X202" s="6">
        <f t="shared" si="52"/>
        <v>0</v>
      </c>
      <c r="Z202" s="30">
        <f t="shared" ref="Z202:Z265" si="61">I202-J202-SUM(K202:N202)</f>
        <v>0</v>
      </c>
    </row>
    <row r="203" spans="6:26" ht="60" customHeight="1" x14ac:dyDescent="0.2">
      <c r="F203" s="50">
        <f t="shared" si="57"/>
        <v>40210</v>
      </c>
      <c r="G203" s="53" t="s">
        <v>132</v>
      </c>
      <c r="H203" s="60"/>
      <c r="I203" s="52">
        <v>100000</v>
      </c>
      <c r="J203" s="52"/>
      <c r="K203" s="52"/>
      <c r="L203" s="52"/>
      <c r="M203" s="59">
        <f>I203</f>
        <v>100000</v>
      </c>
      <c r="N203" s="52"/>
      <c r="O203" s="7">
        <f t="shared" si="59"/>
        <v>100000</v>
      </c>
      <c r="P203" s="5"/>
      <c r="Q203" s="10"/>
      <c r="R203" s="10"/>
      <c r="S203" s="10"/>
      <c r="T203" s="10"/>
      <c r="U203" s="5"/>
      <c r="V203" s="10"/>
      <c r="W203" s="5">
        <f t="shared" si="60"/>
        <v>0</v>
      </c>
      <c r="X203" s="6">
        <f t="shared" si="52"/>
        <v>0</v>
      </c>
      <c r="Z203" s="30">
        <f t="shared" si="61"/>
        <v>0</v>
      </c>
    </row>
    <row r="204" spans="6:26" ht="60" customHeight="1" x14ac:dyDescent="0.2">
      <c r="F204" s="50">
        <f t="shared" si="57"/>
        <v>40211</v>
      </c>
      <c r="G204" s="53" t="s">
        <v>133</v>
      </c>
      <c r="H204" s="59"/>
      <c r="I204" s="52">
        <v>50000</v>
      </c>
      <c r="J204" s="52"/>
      <c r="K204" s="52"/>
      <c r="L204" s="52"/>
      <c r="M204" s="59">
        <f>I204</f>
        <v>50000</v>
      </c>
      <c r="N204" s="52"/>
      <c r="O204" s="7">
        <f t="shared" si="59"/>
        <v>50000</v>
      </c>
      <c r="P204" s="5"/>
      <c r="Q204" s="5"/>
      <c r="R204" s="5"/>
      <c r="S204" s="5"/>
      <c r="T204" s="5"/>
      <c r="U204" s="5"/>
      <c r="V204" s="5"/>
      <c r="W204" s="5">
        <f t="shared" si="60"/>
        <v>0</v>
      </c>
      <c r="X204" s="6">
        <f t="shared" si="52"/>
        <v>0</v>
      </c>
      <c r="Z204" s="30">
        <f t="shared" si="61"/>
        <v>0</v>
      </c>
    </row>
    <row r="205" spans="6:26" ht="60" customHeight="1" x14ac:dyDescent="0.2">
      <c r="F205" s="50">
        <f t="shared" si="57"/>
        <v>40212</v>
      </c>
      <c r="G205" s="53" t="s">
        <v>134</v>
      </c>
      <c r="H205" s="60"/>
      <c r="I205" s="52">
        <v>180000</v>
      </c>
      <c r="J205" s="52"/>
      <c r="K205" s="52"/>
      <c r="L205" s="52"/>
      <c r="M205" s="60">
        <f>I205</f>
        <v>180000</v>
      </c>
      <c r="N205" s="52"/>
      <c r="O205" s="7">
        <f t="shared" si="59"/>
        <v>180000</v>
      </c>
      <c r="P205" s="5"/>
      <c r="Q205" s="5"/>
      <c r="R205" s="5"/>
      <c r="S205" s="5"/>
      <c r="T205" s="5"/>
      <c r="U205" s="5"/>
      <c r="V205" s="5"/>
      <c r="W205" s="5">
        <f t="shared" si="60"/>
        <v>0</v>
      </c>
      <c r="X205" s="6">
        <f t="shared" si="52"/>
        <v>0</v>
      </c>
      <c r="Z205" s="30">
        <f t="shared" si="61"/>
        <v>0</v>
      </c>
    </row>
    <row r="206" spans="6:26" ht="60" customHeight="1" x14ac:dyDescent="0.2">
      <c r="F206" s="50">
        <f t="shared" si="57"/>
        <v>40213</v>
      </c>
      <c r="G206" s="53" t="s">
        <v>135</v>
      </c>
      <c r="H206" s="60"/>
      <c r="I206" s="52">
        <v>50000</v>
      </c>
      <c r="J206" s="52"/>
      <c r="K206" s="52"/>
      <c r="L206" s="52"/>
      <c r="M206" s="60">
        <f t="shared" ref="M206:M219" si="62">I206</f>
        <v>50000</v>
      </c>
      <c r="N206" s="52"/>
      <c r="O206" s="7">
        <f t="shared" si="59"/>
        <v>50000</v>
      </c>
      <c r="P206" s="5"/>
      <c r="Q206" s="5"/>
      <c r="R206" s="5"/>
      <c r="S206" s="5"/>
      <c r="T206" s="5"/>
      <c r="U206" s="5"/>
      <c r="V206" s="5"/>
      <c r="W206" s="5">
        <f t="shared" si="60"/>
        <v>0</v>
      </c>
      <c r="X206" s="6">
        <f t="shared" si="52"/>
        <v>0</v>
      </c>
      <c r="Z206" s="30">
        <f t="shared" si="61"/>
        <v>0</v>
      </c>
    </row>
    <row r="207" spans="6:26" ht="60" customHeight="1" x14ac:dyDescent="0.2">
      <c r="F207" s="50">
        <f t="shared" si="57"/>
        <v>40214</v>
      </c>
      <c r="G207" s="53" t="s">
        <v>136</v>
      </c>
      <c r="H207" s="60"/>
      <c r="I207" s="52">
        <v>700000</v>
      </c>
      <c r="J207" s="52"/>
      <c r="K207" s="52"/>
      <c r="L207" s="52"/>
      <c r="M207" s="60">
        <f t="shared" si="62"/>
        <v>700000</v>
      </c>
      <c r="N207" s="52"/>
      <c r="O207" s="7">
        <f t="shared" si="59"/>
        <v>700000</v>
      </c>
      <c r="P207" s="5"/>
      <c r="Q207" s="5"/>
      <c r="R207" s="5"/>
      <c r="S207" s="5"/>
      <c r="T207" s="5"/>
      <c r="U207" s="5"/>
      <c r="V207" s="5"/>
      <c r="W207" s="5">
        <f t="shared" si="60"/>
        <v>0</v>
      </c>
      <c r="X207" s="6">
        <f t="shared" ref="X207:X257" si="63">Q207-R207-W207</f>
        <v>0</v>
      </c>
      <c r="Z207" s="30">
        <f t="shared" si="61"/>
        <v>0</v>
      </c>
    </row>
    <row r="208" spans="6:26" ht="60" customHeight="1" x14ac:dyDescent="0.2">
      <c r="F208" s="50">
        <f t="shared" si="57"/>
        <v>40215</v>
      </c>
      <c r="G208" s="53" t="s">
        <v>376</v>
      </c>
      <c r="H208" s="52">
        <v>200000</v>
      </c>
      <c r="I208" s="52"/>
      <c r="J208" s="52"/>
      <c r="K208" s="52"/>
      <c r="L208" s="52"/>
      <c r="M208" s="60"/>
      <c r="N208" s="52"/>
      <c r="O208" s="7">
        <f t="shared" si="59"/>
        <v>0</v>
      </c>
      <c r="P208" s="5"/>
      <c r="Q208" s="5"/>
      <c r="R208" s="5"/>
      <c r="S208" s="5"/>
      <c r="T208" s="5"/>
      <c r="U208" s="5"/>
      <c r="V208" s="5"/>
      <c r="W208" s="5">
        <f t="shared" si="60"/>
        <v>0</v>
      </c>
      <c r="X208" s="6">
        <f t="shared" si="63"/>
        <v>0</v>
      </c>
      <c r="Z208" s="30">
        <f t="shared" si="61"/>
        <v>0</v>
      </c>
    </row>
    <row r="209" spans="6:26" ht="60" customHeight="1" x14ac:dyDescent="0.2">
      <c r="F209" s="50">
        <f t="shared" si="57"/>
        <v>40216</v>
      </c>
      <c r="G209" s="53" t="s">
        <v>137</v>
      </c>
      <c r="H209" s="60">
        <f>150000-I209</f>
        <v>50000</v>
      </c>
      <c r="I209" s="52">
        <v>100000</v>
      </c>
      <c r="J209" s="52"/>
      <c r="K209" s="52"/>
      <c r="L209" s="52"/>
      <c r="M209" s="60">
        <f t="shared" si="62"/>
        <v>100000</v>
      </c>
      <c r="N209" s="52"/>
      <c r="O209" s="7">
        <f t="shared" si="59"/>
        <v>100000</v>
      </c>
      <c r="P209" s="5"/>
      <c r="Q209" s="5"/>
      <c r="R209" s="5"/>
      <c r="S209" s="5"/>
      <c r="T209" s="5"/>
      <c r="U209" s="5"/>
      <c r="V209" s="5"/>
      <c r="W209" s="5">
        <f t="shared" si="60"/>
        <v>0</v>
      </c>
      <c r="X209" s="6">
        <f t="shared" si="63"/>
        <v>0</v>
      </c>
      <c r="Z209" s="30">
        <f t="shared" si="61"/>
        <v>0</v>
      </c>
    </row>
    <row r="210" spans="6:26" ht="60" customHeight="1" x14ac:dyDescent="0.2">
      <c r="F210" s="50">
        <f t="shared" si="57"/>
        <v>40217</v>
      </c>
      <c r="G210" s="53" t="s">
        <v>138</v>
      </c>
      <c r="H210" s="60">
        <v>100000</v>
      </c>
      <c r="I210" s="52"/>
      <c r="J210" s="52"/>
      <c r="K210" s="52"/>
      <c r="L210" s="52"/>
      <c r="M210" s="60"/>
      <c r="N210" s="52"/>
      <c r="O210" s="7">
        <f t="shared" si="59"/>
        <v>0</v>
      </c>
      <c r="P210" s="5"/>
      <c r="Q210" s="5"/>
      <c r="R210" s="5"/>
      <c r="S210" s="5"/>
      <c r="T210" s="5"/>
      <c r="U210" s="5"/>
      <c r="V210" s="5"/>
      <c r="W210" s="5">
        <f t="shared" si="60"/>
        <v>0</v>
      </c>
      <c r="X210" s="6">
        <f t="shared" si="63"/>
        <v>0</v>
      </c>
      <c r="Z210" s="30">
        <f t="shared" si="61"/>
        <v>0</v>
      </c>
    </row>
    <row r="211" spans="6:26" ht="76.5" x14ac:dyDescent="0.2">
      <c r="F211" s="50">
        <f t="shared" si="57"/>
        <v>40218</v>
      </c>
      <c r="G211" s="53" t="s">
        <v>300</v>
      </c>
      <c r="H211" s="60">
        <v>600000</v>
      </c>
      <c r="I211" s="52"/>
      <c r="J211" s="52"/>
      <c r="K211" s="52"/>
      <c r="L211" s="52"/>
      <c r="M211" s="60"/>
      <c r="N211" s="52"/>
      <c r="O211" s="7">
        <f t="shared" si="59"/>
        <v>0</v>
      </c>
      <c r="P211" s="5"/>
      <c r="Q211" s="5"/>
      <c r="R211" s="5"/>
      <c r="S211" s="5"/>
      <c r="T211" s="5"/>
      <c r="U211" s="5"/>
      <c r="V211" s="5"/>
      <c r="W211" s="5">
        <f t="shared" si="60"/>
        <v>0</v>
      </c>
      <c r="X211" s="6">
        <f t="shared" si="63"/>
        <v>0</v>
      </c>
      <c r="Z211" s="30">
        <f t="shared" si="61"/>
        <v>0</v>
      </c>
    </row>
    <row r="212" spans="6:26" ht="60" customHeight="1" x14ac:dyDescent="0.2">
      <c r="F212" s="50">
        <f t="shared" si="57"/>
        <v>40219</v>
      </c>
      <c r="G212" s="53" t="s">
        <v>344</v>
      </c>
      <c r="H212" s="60"/>
      <c r="I212" s="52">
        <v>100000</v>
      </c>
      <c r="J212" s="52"/>
      <c r="K212" s="52"/>
      <c r="L212" s="52"/>
      <c r="M212" s="60">
        <f t="shared" si="62"/>
        <v>100000</v>
      </c>
      <c r="N212" s="52"/>
      <c r="O212" s="7">
        <f t="shared" si="59"/>
        <v>100000</v>
      </c>
      <c r="P212" s="5"/>
      <c r="Q212" s="5"/>
      <c r="R212" s="5"/>
      <c r="S212" s="5"/>
      <c r="T212" s="5"/>
      <c r="U212" s="5"/>
      <c r="V212" s="5"/>
      <c r="W212" s="5">
        <f t="shared" si="60"/>
        <v>0</v>
      </c>
      <c r="X212" s="6"/>
      <c r="Z212" s="30">
        <f t="shared" si="61"/>
        <v>0</v>
      </c>
    </row>
    <row r="213" spans="6:26" ht="60" customHeight="1" x14ac:dyDescent="0.2">
      <c r="F213" s="50">
        <f t="shared" si="57"/>
        <v>40220</v>
      </c>
      <c r="G213" s="53" t="s">
        <v>301</v>
      </c>
      <c r="H213" s="60"/>
      <c r="I213" s="52">
        <v>100000</v>
      </c>
      <c r="J213" s="52"/>
      <c r="K213" s="52"/>
      <c r="L213" s="52"/>
      <c r="M213" s="60">
        <f t="shared" si="62"/>
        <v>100000</v>
      </c>
      <c r="N213" s="52"/>
      <c r="O213" s="7">
        <f t="shared" si="59"/>
        <v>100000</v>
      </c>
      <c r="P213" s="5"/>
      <c r="Q213" s="5"/>
      <c r="R213" s="5"/>
      <c r="S213" s="5"/>
      <c r="T213" s="5"/>
      <c r="U213" s="5"/>
      <c r="V213" s="5"/>
      <c r="W213" s="5">
        <f t="shared" si="60"/>
        <v>0</v>
      </c>
      <c r="X213" s="6">
        <f t="shared" si="63"/>
        <v>0</v>
      </c>
      <c r="Z213" s="30">
        <f t="shared" si="61"/>
        <v>0</v>
      </c>
    </row>
    <row r="214" spans="6:26" ht="60" customHeight="1" x14ac:dyDescent="0.2">
      <c r="F214" s="50">
        <f t="shared" si="57"/>
        <v>40221</v>
      </c>
      <c r="G214" s="53" t="s">
        <v>302</v>
      </c>
      <c r="H214" s="60"/>
      <c r="I214" s="52">
        <v>60000</v>
      </c>
      <c r="J214" s="52"/>
      <c r="K214" s="52"/>
      <c r="L214" s="52"/>
      <c r="M214" s="60">
        <f t="shared" si="62"/>
        <v>60000</v>
      </c>
      <c r="N214" s="52"/>
      <c r="O214" s="7">
        <f t="shared" si="59"/>
        <v>60000</v>
      </c>
      <c r="P214" s="5"/>
      <c r="Q214" s="5"/>
      <c r="R214" s="5"/>
      <c r="S214" s="5"/>
      <c r="T214" s="5"/>
      <c r="U214" s="5"/>
      <c r="V214" s="5"/>
      <c r="W214" s="5">
        <f t="shared" si="60"/>
        <v>0</v>
      </c>
      <c r="X214" s="6">
        <f t="shared" si="63"/>
        <v>0</v>
      </c>
      <c r="Z214" s="30">
        <f t="shared" si="61"/>
        <v>0</v>
      </c>
    </row>
    <row r="215" spans="6:26" ht="60" customHeight="1" x14ac:dyDescent="0.2">
      <c r="F215" s="50">
        <f t="shared" si="57"/>
        <v>40222</v>
      </c>
      <c r="G215" s="53" t="s">
        <v>318</v>
      </c>
      <c r="H215" s="60"/>
      <c r="I215" s="52">
        <v>30000</v>
      </c>
      <c r="J215" s="52"/>
      <c r="K215" s="52"/>
      <c r="L215" s="52"/>
      <c r="M215" s="60">
        <f t="shared" si="62"/>
        <v>30000</v>
      </c>
      <c r="N215" s="52"/>
      <c r="O215" s="7">
        <f t="shared" si="59"/>
        <v>30000</v>
      </c>
      <c r="P215" s="5"/>
      <c r="Q215" s="5"/>
      <c r="R215" s="5"/>
      <c r="S215" s="5"/>
      <c r="T215" s="5"/>
      <c r="U215" s="5"/>
      <c r="V215" s="5"/>
      <c r="W215" s="5">
        <f t="shared" si="60"/>
        <v>0</v>
      </c>
      <c r="X215" s="6"/>
      <c r="Z215" s="30">
        <f t="shared" si="61"/>
        <v>0</v>
      </c>
    </row>
    <row r="216" spans="6:26" ht="60" customHeight="1" x14ac:dyDescent="0.2">
      <c r="F216" s="50">
        <f t="shared" si="57"/>
        <v>40223</v>
      </c>
      <c r="G216" s="53" t="s">
        <v>468</v>
      </c>
      <c r="H216" s="60"/>
      <c r="I216" s="52">
        <v>300000</v>
      </c>
      <c r="J216" s="52"/>
      <c r="K216" s="52"/>
      <c r="L216" s="52"/>
      <c r="M216" s="60">
        <f t="shared" si="62"/>
        <v>300000</v>
      </c>
      <c r="N216" s="52"/>
      <c r="O216" s="7">
        <f t="shared" si="59"/>
        <v>300000</v>
      </c>
      <c r="P216" s="5"/>
      <c r="Q216" s="5"/>
      <c r="R216" s="5"/>
      <c r="S216" s="5"/>
      <c r="T216" s="5"/>
      <c r="U216" s="5"/>
      <c r="V216" s="5"/>
      <c r="W216" s="5">
        <f t="shared" si="60"/>
        <v>0</v>
      </c>
      <c r="X216" s="6"/>
      <c r="Z216" s="30">
        <f t="shared" si="61"/>
        <v>0</v>
      </c>
    </row>
    <row r="217" spans="6:26" ht="60" customHeight="1" x14ac:dyDescent="0.2">
      <c r="F217" s="50">
        <f t="shared" si="57"/>
        <v>40224</v>
      </c>
      <c r="G217" s="53" t="s">
        <v>319</v>
      </c>
      <c r="H217" s="52">
        <v>500000</v>
      </c>
      <c r="I217" s="52"/>
      <c r="J217" s="52"/>
      <c r="K217" s="52"/>
      <c r="L217" s="52"/>
      <c r="M217" s="60"/>
      <c r="N217" s="52"/>
      <c r="O217" s="7">
        <f t="shared" si="59"/>
        <v>0</v>
      </c>
      <c r="P217" s="5"/>
      <c r="Q217" s="5"/>
      <c r="R217" s="5"/>
      <c r="S217" s="5"/>
      <c r="T217" s="5"/>
      <c r="U217" s="5"/>
      <c r="V217" s="5"/>
      <c r="W217" s="5">
        <f t="shared" si="60"/>
        <v>0</v>
      </c>
      <c r="X217" s="6"/>
      <c r="Z217" s="30">
        <f t="shared" si="61"/>
        <v>0</v>
      </c>
    </row>
    <row r="218" spans="6:26" ht="60" customHeight="1" x14ac:dyDescent="0.2">
      <c r="F218" s="50">
        <f t="shared" si="57"/>
        <v>40225</v>
      </c>
      <c r="G218" s="53" t="s">
        <v>303</v>
      </c>
      <c r="H218" s="60">
        <v>150000</v>
      </c>
      <c r="I218" s="52"/>
      <c r="J218" s="52"/>
      <c r="K218" s="52"/>
      <c r="L218" s="52"/>
      <c r="M218" s="60"/>
      <c r="N218" s="52"/>
      <c r="O218" s="7">
        <f t="shared" si="59"/>
        <v>0</v>
      </c>
      <c r="P218" s="5"/>
      <c r="Q218" s="5"/>
      <c r="R218" s="5"/>
      <c r="S218" s="5"/>
      <c r="T218" s="5"/>
      <c r="U218" s="5"/>
      <c r="V218" s="5"/>
      <c r="W218" s="5">
        <f t="shared" si="60"/>
        <v>0</v>
      </c>
      <c r="X218" s="6"/>
      <c r="Z218" s="30">
        <f t="shared" si="61"/>
        <v>0</v>
      </c>
    </row>
    <row r="219" spans="6:26" ht="60" customHeight="1" x14ac:dyDescent="0.2">
      <c r="F219" s="50">
        <f t="shared" si="57"/>
        <v>40226</v>
      </c>
      <c r="G219" s="53" t="s">
        <v>345</v>
      </c>
      <c r="H219" s="60"/>
      <c r="I219" s="52">
        <v>100000</v>
      </c>
      <c r="J219" s="52"/>
      <c r="K219" s="52"/>
      <c r="L219" s="52"/>
      <c r="M219" s="60">
        <f t="shared" si="62"/>
        <v>100000</v>
      </c>
      <c r="N219" s="52"/>
      <c r="O219" s="7">
        <f t="shared" si="59"/>
        <v>100000</v>
      </c>
      <c r="P219" s="5"/>
      <c r="Q219" s="5"/>
      <c r="R219" s="5"/>
      <c r="S219" s="5"/>
      <c r="T219" s="5"/>
      <c r="U219" s="5"/>
      <c r="V219" s="5"/>
      <c r="W219" s="5">
        <f t="shared" si="60"/>
        <v>0</v>
      </c>
      <c r="X219" s="6"/>
      <c r="Z219" s="30">
        <f t="shared" si="61"/>
        <v>0</v>
      </c>
    </row>
    <row r="220" spans="6:26" ht="60" customHeight="1" x14ac:dyDescent="0.2">
      <c r="F220" s="50">
        <f t="shared" si="57"/>
        <v>40227</v>
      </c>
      <c r="G220" s="53" t="s">
        <v>454</v>
      </c>
      <c r="H220" s="52">
        <v>750000</v>
      </c>
      <c r="I220" s="52"/>
      <c r="J220" s="52"/>
      <c r="K220" s="52"/>
      <c r="L220" s="52"/>
      <c r="M220" s="60"/>
      <c r="N220" s="52"/>
      <c r="O220" s="7">
        <f>SUM(K220:N220)</f>
        <v>0</v>
      </c>
      <c r="P220" s="5"/>
      <c r="Q220" s="5"/>
      <c r="R220" s="5"/>
      <c r="S220" s="5"/>
      <c r="T220" s="5"/>
      <c r="U220" s="5"/>
      <c r="V220" s="5"/>
      <c r="W220" s="5"/>
      <c r="X220" s="6"/>
      <c r="Z220" s="30">
        <f t="shared" si="61"/>
        <v>0</v>
      </c>
    </row>
    <row r="221" spans="6:26" ht="60" customHeight="1" x14ac:dyDescent="0.2">
      <c r="F221" s="50">
        <f t="shared" si="57"/>
        <v>40228</v>
      </c>
      <c r="G221" s="53" t="s">
        <v>373</v>
      </c>
      <c r="H221" s="52">
        <v>200000</v>
      </c>
      <c r="I221" s="52"/>
      <c r="J221" s="52"/>
      <c r="K221" s="52"/>
      <c r="L221" s="52"/>
      <c r="M221" s="60"/>
      <c r="N221" s="52"/>
      <c r="O221" s="7">
        <f t="shared" si="59"/>
        <v>0</v>
      </c>
      <c r="P221" s="5"/>
      <c r="Q221" s="5"/>
      <c r="R221" s="5"/>
      <c r="S221" s="5"/>
      <c r="T221" s="5"/>
      <c r="U221" s="5"/>
      <c r="V221" s="5"/>
      <c r="W221" s="5"/>
      <c r="X221" s="6"/>
      <c r="Z221" s="30">
        <f t="shared" si="61"/>
        <v>0</v>
      </c>
    </row>
    <row r="222" spans="6:26" ht="60" customHeight="1" x14ac:dyDescent="0.2">
      <c r="F222" s="50">
        <f t="shared" si="57"/>
        <v>40229</v>
      </c>
      <c r="G222" s="53" t="s">
        <v>370</v>
      </c>
      <c r="H222" s="52">
        <v>936000</v>
      </c>
      <c r="I222" s="52"/>
      <c r="J222" s="52"/>
      <c r="K222" s="52"/>
      <c r="L222" s="52"/>
      <c r="M222" s="60"/>
      <c r="N222" s="52"/>
      <c r="O222" s="7">
        <f t="shared" si="59"/>
        <v>0</v>
      </c>
      <c r="P222" s="5"/>
      <c r="Q222" s="5"/>
      <c r="R222" s="5"/>
      <c r="S222" s="5"/>
      <c r="T222" s="5"/>
      <c r="U222" s="5"/>
      <c r="V222" s="5"/>
      <c r="W222" s="5">
        <f t="shared" si="60"/>
        <v>0</v>
      </c>
      <c r="X222" s="6">
        <f t="shared" si="63"/>
        <v>0</v>
      </c>
      <c r="Z222" s="30">
        <f t="shared" si="61"/>
        <v>0</v>
      </c>
    </row>
    <row r="223" spans="6:26" ht="60" customHeight="1" x14ac:dyDescent="0.2">
      <c r="F223" s="58"/>
      <c r="G223" s="56" t="s">
        <v>139</v>
      </c>
      <c r="H223" s="57">
        <f t="shared" ref="H223:W223" si="64">SUM(H194:H222)</f>
        <v>10466000</v>
      </c>
      <c r="I223" s="57">
        <f t="shared" si="64"/>
        <v>61620000</v>
      </c>
      <c r="J223" s="57">
        <f t="shared" si="64"/>
        <v>0</v>
      </c>
      <c r="K223" s="57">
        <f t="shared" si="64"/>
        <v>0</v>
      </c>
      <c r="L223" s="57">
        <f t="shared" si="64"/>
        <v>0</v>
      </c>
      <c r="M223" s="57">
        <f t="shared" si="64"/>
        <v>61520000</v>
      </c>
      <c r="N223" s="57">
        <f t="shared" si="64"/>
        <v>100000</v>
      </c>
      <c r="O223" s="6">
        <f t="shared" si="64"/>
        <v>61620000</v>
      </c>
      <c r="P223" s="6">
        <f t="shared" si="64"/>
        <v>0</v>
      </c>
      <c r="Q223" s="6">
        <f t="shared" si="64"/>
        <v>52900000</v>
      </c>
      <c r="R223" s="6">
        <f t="shared" si="64"/>
        <v>0</v>
      </c>
      <c r="S223" s="6">
        <f t="shared" si="64"/>
        <v>0</v>
      </c>
      <c r="T223" s="6">
        <f t="shared" si="64"/>
        <v>0</v>
      </c>
      <c r="U223" s="6">
        <f t="shared" si="64"/>
        <v>52900000</v>
      </c>
      <c r="V223" s="6">
        <f t="shared" si="64"/>
        <v>0</v>
      </c>
      <c r="W223" s="6">
        <f t="shared" si="64"/>
        <v>52900000</v>
      </c>
      <c r="X223" s="6">
        <f t="shared" si="63"/>
        <v>0</v>
      </c>
      <c r="Z223" s="30">
        <f t="shared" si="61"/>
        <v>0</v>
      </c>
    </row>
    <row r="224" spans="6:26" ht="60" customHeight="1" x14ac:dyDescent="0.2">
      <c r="F224" s="50">
        <v>40300</v>
      </c>
      <c r="G224" s="51" t="s">
        <v>140</v>
      </c>
      <c r="H224" s="60"/>
      <c r="I224" s="52"/>
      <c r="J224" s="52"/>
      <c r="K224" s="52"/>
      <c r="L224" s="52"/>
      <c r="M224" s="60"/>
      <c r="N224" s="52"/>
      <c r="O224" s="5"/>
      <c r="P224" s="5"/>
      <c r="Q224" s="5"/>
      <c r="R224" s="5"/>
      <c r="S224" s="5"/>
      <c r="T224" s="5"/>
      <c r="U224" s="5"/>
      <c r="V224" s="5"/>
      <c r="W224" s="5"/>
      <c r="X224" s="6">
        <f t="shared" si="63"/>
        <v>0</v>
      </c>
      <c r="Z224" s="30">
        <f t="shared" si="61"/>
        <v>0</v>
      </c>
    </row>
    <row r="225" spans="6:26" ht="60" customHeight="1" x14ac:dyDescent="0.2">
      <c r="F225" s="50">
        <f t="shared" ref="F225:F230" si="65">F224+1</f>
        <v>40301</v>
      </c>
      <c r="G225" s="53" t="s">
        <v>141</v>
      </c>
      <c r="H225" s="60"/>
      <c r="I225" s="52">
        <v>40000</v>
      </c>
      <c r="J225" s="52"/>
      <c r="K225" s="52"/>
      <c r="L225" s="52"/>
      <c r="M225" s="60">
        <f>I225</f>
        <v>40000</v>
      </c>
      <c r="N225" s="52"/>
      <c r="O225" s="7">
        <f t="shared" ref="O225:O230" si="66">SUM(K225:N225)</f>
        <v>40000</v>
      </c>
      <c r="P225" s="5"/>
      <c r="Q225" s="5"/>
      <c r="R225" s="5"/>
      <c r="S225" s="5"/>
      <c r="T225" s="5"/>
      <c r="U225" s="5"/>
      <c r="V225" s="5"/>
      <c r="W225" s="5">
        <f>V225+U225+T225+S225</f>
        <v>0</v>
      </c>
      <c r="X225" s="6">
        <f t="shared" si="63"/>
        <v>0</v>
      </c>
      <c r="Z225" s="30">
        <f t="shared" si="61"/>
        <v>0</v>
      </c>
    </row>
    <row r="226" spans="6:26" ht="60" customHeight="1" x14ac:dyDescent="0.2">
      <c r="F226" s="50">
        <f t="shared" si="65"/>
        <v>40302</v>
      </c>
      <c r="G226" s="53" t="s">
        <v>377</v>
      </c>
      <c r="H226" s="60"/>
      <c r="I226" s="52">
        <v>500000</v>
      </c>
      <c r="J226" s="52"/>
      <c r="K226" s="52"/>
      <c r="L226" s="52"/>
      <c r="M226" s="60">
        <f>I226</f>
        <v>500000</v>
      </c>
      <c r="N226" s="52"/>
      <c r="O226" s="7">
        <f t="shared" si="66"/>
        <v>500000</v>
      </c>
      <c r="P226" s="5"/>
      <c r="Q226" s="5"/>
      <c r="R226" s="5"/>
      <c r="S226" s="5"/>
      <c r="T226" s="5"/>
      <c r="U226" s="5"/>
      <c r="V226" s="5"/>
      <c r="W226" s="5">
        <f>V226+U226+T226+S226</f>
        <v>0</v>
      </c>
      <c r="X226" s="6">
        <f t="shared" si="63"/>
        <v>0</v>
      </c>
      <c r="Z226" s="30">
        <f t="shared" si="61"/>
        <v>0</v>
      </c>
    </row>
    <row r="227" spans="6:26" ht="60" customHeight="1" x14ac:dyDescent="0.2">
      <c r="F227" s="50">
        <f t="shared" si="65"/>
        <v>40303</v>
      </c>
      <c r="G227" s="53" t="s">
        <v>142</v>
      </c>
      <c r="H227" s="60">
        <f>350000-I227</f>
        <v>50000</v>
      </c>
      <c r="I227" s="52">
        <v>300000</v>
      </c>
      <c r="J227" s="52">
        <f>I227/2</f>
        <v>150000</v>
      </c>
      <c r="K227" s="52"/>
      <c r="L227" s="52"/>
      <c r="M227" s="60">
        <f>I227-J227</f>
        <v>150000</v>
      </c>
      <c r="N227" s="52"/>
      <c r="O227" s="7">
        <f t="shared" si="66"/>
        <v>150000</v>
      </c>
      <c r="P227" s="5"/>
      <c r="Q227" s="5"/>
      <c r="R227" s="5"/>
      <c r="S227" s="5"/>
      <c r="T227" s="5"/>
      <c r="U227" s="5"/>
      <c r="V227" s="5"/>
      <c r="W227" s="5">
        <f>V227+U227+T227+S227</f>
        <v>0</v>
      </c>
      <c r="X227" s="6">
        <f t="shared" si="63"/>
        <v>0</v>
      </c>
      <c r="Z227" s="30">
        <f t="shared" si="61"/>
        <v>0</v>
      </c>
    </row>
    <row r="228" spans="6:26" ht="60" customHeight="1" x14ac:dyDescent="0.2">
      <c r="F228" s="50">
        <f t="shared" si="65"/>
        <v>40304</v>
      </c>
      <c r="G228" s="53" t="s">
        <v>143</v>
      </c>
      <c r="H228" s="60">
        <f>500000-I228</f>
        <v>200000</v>
      </c>
      <c r="I228" s="52">
        <v>300000</v>
      </c>
      <c r="J228" s="52"/>
      <c r="K228" s="52"/>
      <c r="L228" s="52"/>
      <c r="M228" s="60">
        <f>I228</f>
        <v>300000</v>
      </c>
      <c r="N228" s="52"/>
      <c r="O228" s="7">
        <f t="shared" si="66"/>
        <v>300000</v>
      </c>
      <c r="P228" s="5"/>
      <c r="Q228" s="5"/>
      <c r="R228" s="5"/>
      <c r="S228" s="5"/>
      <c r="T228" s="5"/>
      <c r="U228" s="5"/>
      <c r="V228" s="5"/>
      <c r="W228" s="5">
        <f>V228+U228+T228+S228</f>
        <v>0</v>
      </c>
      <c r="X228" s="6">
        <f t="shared" si="63"/>
        <v>0</v>
      </c>
      <c r="Z228" s="30">
        <f t="shared" si="61"/>
        <v>0</v>
      </c>
    </row>
    <row r="229" spans="6:26" ht="60" customHeight="1" x14ac:dyDescent="0.2">
      <c r="F229" s="50">
        <f t="shared" si="65"/>
        <v>40305</v>
      </c>
      <c r="G229" s="53" t="s">
        <v>144</v>
      </c>
      <c r="H229" s="60"/>
      <c r="I229" s="52">
        <v>5000</v>
      </c>
      <c r="J229" s="52"/>
      <c r="K229" s="52"/>
      <c r="L229" s="52"/>
      <c r="M229" s="60">
        <f>I229</f>
        <v>5000</v>
      </c>
      <c r="N229" s="52"/>
      <c r="O229" s="7">
        <f t="shared" si="66"/>
        <v>5000</v>
      </c>
      <c r="P229" s="5"/>
      <c r="Q229" s="5"/>
      <c r="R229" s="5"/>
      <c r="S229" s="5"/>
      <c r="T229" s="5"/>
      <c r="U229" s="5"/>
      <c r="V229" s="5"/>
      <c r="W229" s="5">
        <f>V229+U229+T229+S229</f>
        <v>0</v>
      </c>
      <c r="X229" s="6">
        <f>Q229-R229-W229</f>
        <v>0</v>
      </c>
      <c r="Z229" s="30">
        <f t="shared" si="61"/>
        <v>0</v>
      </c>
    </row>
    <row r="230" spans="6:26" ht="60" customHeight="1" x14ac:dyDescent="0.2">
      <c r="F230" s="50">
        <f t="shared" si="65"/>
        <v>40306</v>
      </c>
      <c r="G230" s="53" t="s">
        <v>378</v>
      </c>
      <c r="H230" s="60">
        <v>100000</v>
      </c>
      <c r="I230" s="52"/>
      <c r="J230" s="52"/>
      <c r="K230" s="52"/>
      <c r="L230" s="52"/>
      <c r="M230" s="60"/>
      <c r="N230" s="52"/>
      <c r="O230" s="7">
        <f t="shared" si="66"/>
        <v>0</v>
      </c>
      <c r="P230" s="5"/>
      <c r="Q230" s="5"/>
      <c r="R230" s="5"/>
      <c r="S230" s="5"/>
      <c r="T230" s="5"/>
      <c r="U230" s="5"/>
      <c r="V230" s="5"/>
      <c r="W230" s="5"/>
      <c r="X230" s="6"/>
      <c r="Z230" s="30">
        <f t="shared" si="61"/>
        <v>0</v>
      </c>
    </row>
    <row r="231" spans="6:26" ht="60" customHeight="1" x14ac:dyDescent="0.2">
      <c r="F231" s="58"/>
      <c r="G231" s="56" t="s">
        <v>145</v>
      </c>
      <c r="H231" s="57">
        <f t="shared" ref="H231:W231" si="67">SUM(H225:H230)</f>
        <v>350000</v>
      </c>
      <c r="I231" s="57">
        <f t="shared" si="67"/>
        <v>1145000</v>
      </c>
      <c r="J231" s="57">
        <f t="shared" si="67"/>
        <v>150000</v>
      </c>
      <c r="K231" s="57">
        <f t="shared" si="67"/>
        <v>0</v>
      </c>
      <c r="L231" s="57">
        <f t="shared" si="67"/>
        <v>0</v>
      </c>
      <c r="M231" s="57">
        <f t="shared" si="67"/>
        <v>995000</v>
      </c>
      <c r="N231" s="57">
        <f t="shared" si="67"/>
        <v>0</v>
      </c>
      <c r="O231" s="6">
        <f t="shared" si="67"/>
        <v>995000</v>
      </c>
      <c r="P231" s="6">
        <f t="shared" si="67"/>
        <v>0</v>
      </c>
      <c r="Q231" s="6">
        <f t="shared" si="67"/>
        <v>0</v>
      </c>
      <c r="R231" s="6">
        <f t="shared" si="67"/>
        <v>0</v>
      </c>
      <c r="S231" s="6">
        <f t="shared" si="67"/>
        <v>0</v>
      </c>
      <c r="T231" s="6">
        <f t="shared" si="67"/>
        <v>0</v>
      </c>
      <c r="U231" s="6">
        <f t="shared" si="67"/>
        <v>0</v>
      </c>
      <c r="V231" s="6">
        <f t="shared" si="67"/>
        <v>0</v>
      </c>
      <c r="W231" s="6">
        <f t="shared" si="67"/>
        <v>0</v>
      </c>
      <c r="X231" s="6">
        <f t="shared" si="63"/>
        <v>0</v>
      </c>
      <c r="Z231" s="30">
        <f t="shared" si="61"/>
        <v>0</v>
      </c>
    </row>
    <row r="232" spans="6:26" ht="60" customHeight="1" x14ac:dyDescent="0.2">
      <c r="F232" s="50"/>
      <c r="G232" s="51" t="s">
        <v>146</v>
      </c>
      <c r="H232" s="59"/>
      <c r="I232" s="52"/>
      <c r="J232" s="52"/>
      <c r="K232" s="52"/>
      <c r="L232" s="52"/>
      <c r="M232" s="52"/>
      <c r="N232" s="52"/>
      <c r="O232" s="5"/>
      <c r="P232" s="5"/>
      <c r="Q232" s="5"/>
      <c r="R232" s="5"/>
      <c r="S232" s="5"/>
      <c r="T232" s="5"/>
      <c r="U232" s="5"/>
      <c r="V232" s="5"/>
      <c r="W232" s="5"/>
      <c r="X232" s="6">
        <f t="shared" si="63"/>
        <v>0</v>
      </c>
      <c r="Z232" s="30">
        <f t="shared" si="61"/>
        <v>0</v>
      </c>
    </row>
    <row r="233" spans="6:26" ht="60" customHeight="1" x14ac:dyDescent="0.2">
      <c r="F233" s="50">
        <v>40400</v>
      </c>
      <c r="G233" s="51" t="s">
        <v>147</v>
      </c>
      <c r="H233" s="59"/>
      <c r="I233" s="52"/>
      <c r="J233" s="52"/>
      <c r="K233" s="52"/>
      <c r="L233" s="52"/>
      <c r="M233" s="52"/>
      <c r="N233" s="52"/>
      <c r="O233" s="5"/>
      <c r="P233" s="5"/>
      <c r="Q233" s="5"/>
      <c r="R233" s="5"/>
      <c r="S233" s="5"/>
      <c r="T233" s="5"/>
      <c r="U233" s="5"/>
      <c r="V233" s="5"/>
      <c r="W233" s="5"/>
      <c r="X233" s="6">
        <f t="shared" si="63"/>
        <v>0</v>
      </c>
      <c r="Z233" s="30">
        <f t="shared" si="61"/>
        <v>0</v>
      </c>
    </row>
    <row r="234" spans="6:26" ht="60" customHeight="1" x14ac:dyDescent="0.2">
      <c r="F234" s="50">
        <f t="shared" ref="F234:F261" si="68">+F233+1</f>
        <v>40401</v>
      </c>
      <c r="G234" s="53" t="s">
        <v>320</v>
      </c>
      <c r="H234" s="52">
        <f>2790000-I234</f>
        <v>1290000</v>
      </c>
      <c r="I234" s="52">
        <v>1500000</v>
      </c>
      <c r="J234" s="52"/>
      <c r="K234" s="52"/>
      <c r="L234" s="52">
        <f>I234</f>
        <v>1500000</v>
      </c>
      <c r="M234" s="60"/>
      <c r="N234" s="52"/>
      <c r="O234" s="7">
        <f t="shared" ref="O234:O261" si="69">SUM(K234:N234)</f>
        <v>1500000</v>
      </c>
      <c r="P234" s="5"/>
      <c r="Q234" s="5"/>
      <c r="R234" s="5"/>
      <c r="S234" s="5"/>
      <c r="T234" s="5"/>
      <c r="U234" s="5"/>
      <c r="V234" s="5"/>
      <c r="W234" s="5">
        <f t="shared" ref="W234:W259" si="70">V234+U234+T234+S234</f>
        <v>0</v>
      </c>
      <c r="X234" s="6">
        <f t="shared" si="63"/>
        <v>0</v>
      </c>
      <c r="Z234" s="30">
        <f t="shared" si="61"/>
        <v>0</v>
      </c>
    </row>
    <row r="235" spans="6:26" ht="60" customHeight="1" x14ac:dyDescent="0.2">
      <c r="F235" s="50">
        <f t="shared" si="68"/>
        <v>40402</v>
      </c>
      <c r="G235" s="53" t="s">
        <v>148</v>
      </c>
      <c r="H235" s="52">
        <f>500000-I235</f>
        <v>250000</v>
      </c>
      <c r="I235" s="52">
        <v>250000</v>
      </c>
      <c r="J235" s="52"/>
      <c r="K235" s="52"/>
      <c r="L235" s="52"/>
      <c r="M235" s="60">
        <f t="shared" ref="M235:M242" si="71">I235</f>
        <v>250000</v>
      </c>
      <c r="N235" s="52"/>
      <c r="O235" s="7">
        <f t="shared" si="69"/>
        <v>250000</v>
      </c>
      <c r="P235" s="5"/>
      <c r="Q235" s="5"/>
      <c r="R235" s="5"/>
      <c r="S235" s="5"/>
      <c r="T235" s="5"/>
      <c r="U235" s="5"/>
      <c r="V235" s="5"/>
      <c r="W235" s="5">
        <f t="shared" si="70"/>
        <v>0</v>
      </c>
      <c r="X235" s="6">
        <f t="shared" si="63"/>
        <v>0</v>
      </c>
      <c r="Z235" s="30">
        <f t="shared" si="61"/>
        <v>0</v>
      </c>
    </row>
    <row r="236" spans="6:26" ht="60" customHeight="1" x14ac:dyDescent="0.2">
      <c r="F236" s="50">
        <f t="shared" si="68"/>
        <v>40403</v>
      </c>
      <c r="G236" s="53" t="s">
        <v>149</v>
      </c>
      <c r="H236" s="52">
        <f>2000000-I236</f>
        <v>1400000</v>
      </c>
      <c r="I236" s="52">
        <v>600000</v>
      </c>
      <c r="J236" s="52"/>
      <c r="K236" s="52"/>
      <c r="L236" s="52"/>
      <c r="M236" s="60">
        <f t="shared" si="71"/>
        <v>600000</v>
      </c>
      <c r="N236" s="52"/>
      <c r="O236" s="7">
        <f t="shared" si="69"/>
        <v>600000</v>
      </c>
      <c r="P236" s="5"/>
      <c r="Q236" s="5"/>
      <c r="R236" s="5"/>
      <c r="S236" s="5"/>
      <c r="T236" s="5"/>
      <c r="U236" s="5"/>
      <c r="V236" s="5"/>
      <c r="W236" s="5">
        <f t="shared" si="70"/>
        <v>0</v>
      </c>
      <c r="X236" s="6">
        <f t="shared" si="63"/>
        <v>0</v>
      </c>
      <c r="Z236" s="30">
        <f t="shared" si="61"/>
        <v>0</v>
      </c>
    </row>
    <row r="237" spans="6:26" ht="60" customHeight="1" x14ac:dyDescent="0.2">
      <c r="F237" s="50">
        <f t="shared" si="68"/>
        <v>40404</v>
      </c>
      <c r="G237" s="53" t="s">
        <v>150</v>
      </c>
      <c r="H237" s="52">
        <f>6000000-I237</f>
        <v>500000</v>
      </c>
      <c r="I237" s="52">
        <v>5500000</v>
      </c>
      <c r="J237" s="52"/>
      <c r="K237" s="52"/>
      <c r="L237" s="52">
        <f>I237</f>
        <v>5500000</v>
      </c>
      <c r="M237" s="60"/>
      <c r="N237" s="52"/>
      <c r="O237" s="7">
        <f t="shared" si="69"/>
        <v>5500000</v>
      </c>
      <c r="P237" s="5"/>
      <c r="Q237" s="5"/>
      <c r="R237" s="5"/>
      <c r="S237" s="5"/>
      <c r="T237" s="5"/>
      <c r="U237" s="5"/>
      <c r="V237" s="5"/>
      <c r="W237" s="5">
        <f t="shared" si="70"/>
        <v>0</v>
      </c>
      <c r="X237" s="6">
        <f t="shared" si="63"/>
        <v>0</v>
      </c>
      <c r="Z237" s="30">
        <f t="shared" si="61"/>
        <v>0</v>
      </c>
    </row>
    <row r="238" spans="6:26" ht="60" customHeight="1" x14ac:dyDescent="0.2">
      <c r="F238" s="50">
        <f t="shared" si="68"/>
        <v>40405</v>
      </c>
      <c r="G238" s="53" t="s">
        <v>151</v>
      </c>
      <c r="H238" s="52">
        <f>361686-I238</f>
        <v>136686</v>
      </c>
      <c r="I238" s="52">
        <v>225000</v>
      </c>
      <c r="J238" s="52"/>
      <c r="K238" s="52"/>
      <c r="L238" s="52"/>
      <c r="M238" s="59">
        <f t="shared" si="71"/>
        <v>225000</v>
      </c>
      <c r="N238" s="52"/>
      <c r="O238" s="7">
        <f t="shared" si="69"/>
        <v>225000</v>
      </c>
      <c r="P238" s="5"/>
      <c r="Q238" s="5"/>
      <c r="R238" s="5"/>
      <c r="S238" s="5"/>
      <c r="T238" s="5"/>
      <c r="U238" s="5"/>
      <c r="V238" s="5"/>
      <c r="W238" s="5">
        <f t="shared" si="70"/>
        <v>0</v>
      </c>
      <c r="X238" s="6">
        <f t="shared" si="63"/>
        <v>0</v>
      </c>
      <c r="Z238" s="30">
        <f t="shared" si="61"/>
        <v>0</v>
      </c>
    </row>
    <row r="239" spans="6:26" ht="60" customHeight="1" x14ac:dyDescent="0.2">
      <c r="F239" s="50">
        <f t="shared" si="68"/>
        <v>40406</v>
      </c>
      <c r="G239" s="53" t="s">
        <v>152</v>
      </c>
      <c r="H239" s="52"/>
      <c r="I239" s="52">
        <v>2700000</v>
      </c>
      <c r="J239" s="52"/>
      <c r="K239" s="52">
        <v>200000</v>
      </c>
      <c r="L239" s="52"/>
      <c r="M239" s="59">
        <f>I239-K239</f>
        <v>2500000</v>
      </c>
      <c r="N239" s="52"/>
      <c r="O239" s="7">
        <f t="shared" si="69"/>
        <v>2700000</v>
      </c>
      <c r="P239" s="5"/>
      <c r="Q239" s="5"/>
      <c r="R239" s="5"/>
      <c r="S239" s="5"/>
      <c r="T239" s="5"/>
      <c r="U239" s="5"/>
      <c r="V239" s="5"/>
      <c r="W239" s="5">
        <f t="shared" si="70"/>
        <v>0</v>
      </c>
      <c r="X239" s="6">
        <f t="shared" si="63"/>
        <v>0</v>
      </c>
      <c r="Z239" s="30">
        <f t="shared" si="61"/>
        <v>0</v>
      </c>
    </row>
    <row r="240" spans="6:26" ht="60" customHeight="1" x14ac:dyDescent="0.2">
      <c r="F240" s="50">
        <f t="shared" si="68"/>
        <v>40407</v>
      </c>
      <c r="G240" s="53" t="s">
        <v>153</v>
      </c>
      <c r="H240" s="52">
        <f>500000-I240</f>
        <v>200000</v>
      </c>
      <c r="I240" s="52">
        <v>300000</v>
      </c>
      <c r="J240" s="52"/>
      <c r="K240" s="52"/>
      <c r="L240" s="52"/>
      <c r="M240" s="59">
        <f t="shared" si="71"/>
        <v>300000</v>
      </c>
      <c r="N240" s="52"/>
      <c r="O240" s="7">
        <f t="shared" si="69"/>
        <v>300000</v>
      </c>
      <c r="P240" s="5"/>
      <c r="Q240" s="5"/>
      <c r="R240" s="5"/>
      <c r="S240" s="5"/>
      <c r="T240" s="5"/>
      <c r="U240" s="5"/>
      <c r="V240" s="5"/>
      <c r="W240" s="5">
        <f t="shared" si="70"/>
        <v>0</v>
      </c>
      <c r="X240" s="6">
        <f t="shared" si="63"/>
        <v>0</v>
      </c>
      <c r="Z240" s="30">
        <f t="shared" si="61"/>
        <v>0</v>
      </c>
    </row>
    <row r="241" spans="6:26" ht="60" customHeight="1" x14ac:dyDescent="0.2">
      <c r="F241" s="50">
        <f t="shared" si="68"/>
        <v>40408</v>
      </c>
      <c r="G241" s="53" t="s">
        <v>154</v>
      </c>
      <c r="H241" s="52"/>
      <c r="I241" s="52">
        <v>20000</v>
      </c>
      <c r="J241" s="52"/>
      <c r="K241" s="52"/>
      <c r="L241" s="52"/>
      <c r="M241" s="59">
        <f t="shared" si="71"/>
        <v>20000</v>
      </c>
      <c r="N241" s="52"/>
      <c r="O241" s="7">
        <f t="shared" si="69"/>
        <v>20000</v>
      </c>
      <c r="P241" s="5"/>
      <c r="Q241" s="5"/>
      <c r="R241" s="5"/>
      <c r="S241" s="5"/>
      <c r="T241" s="5"/>
      <c r="U241" s="5"/>
      <c r="V241" s="5"/>
      <c r="W241" s="5">
        <f t="shared" si="70"/>
        <v>0</v>
      </c>
      <c r="X241" s="6">
        <f t="shared" si="63"/>
        <v>0</v>
      </c>
      <c r="Z241" s="30">
        <f t="shared" si="61"/>
        <v>0</v>
      </c>
    </row>
    <row r="242" spans="6:26" ht="60" customHeight="1" x14ac:dyDescent="0.2">
      <c r="F242" s="50">
        <f t="shared" si="68"/>
        <v>40409</v>
      </c>
      <c r="G242" s="53" t="s">
        <v>155</v>
      </c>
      <c r="H242" s="52">
        <f>50000-I242</f>
        <v>30000</v>
      </c>
      <c r="I242" s="52">
        <v>20000</v>
      </c>
      <c r="J242" s="52"/>
      <c r="K242" s="52"/>
      <c r="L242" s="52"/>
      <c r="M242" s="59">
        <f t="shared" si="71"/>
        <v>20000</v>
      </c>
      <c r="N242" s="52"/>
      <c r="O242" s="7">
        <f t="shared" si="69"/>
        <v>20000</v>
      </c>
      <c r="P242" s="5"/>
      <c r="Q242" s="5"/>
      <c r="R242" s="5"/>
      <c r="S242" s="5"/>
      <c r="T242" s="5"/>
      <c r="U242" s="5"/>
      <c r="V242" s="5"/>
      <c r="W242" s="5">
        <f t="shared" si="70"/>
        <v>0</v>
      </c>
      <c r="X242" s="6">
        <f t="shared" si="63"/>
        <v>0</v>
      </c>
      <c r="Z242" s="30">
        <f t="shared" si="61"/>
        <v>0</v>
      </c>
    </row>
    <row r="243" spans="6:26" ht="60" customHeight="1" x14ac:dyDescent="0.2">
      <c r="F243" s="50">
        <f t="shared" si="68"/>
        <v>40410</v>
      </c>
      <c r="G243" s="53" t="s">
        <v>156</v>
      </c>
      <c r="H243" s="52">
        <f>69500000-I243</f>
        <v>19500000</v>
      </c>
      <c r="I243" s="52">
        <v>50000000</v>
      </c>
      <c r="J243" s="52"/>
      <c r="K243" s="52"/>
      <c r="L243" s="52">
        <f>I243-K243</f>
        <v>50000000</v>
      </c>
      <c r="M243" s="59"/>
      <c r="N243" s="52"/>
      <c r="O243" s="7">
        <f t="shared" si="69"/>
        <v>50000000</v>
      </c>
      <c r="P243" s="5"/>
      <c r="Q243" s="5"/>
      <c r="R243" s="5"/>
      <c r="S243" s="5"/>
      <c r="T243" s="5"/>
      <c r="U243" s="5"/>
      <c r="V243" s="5"/>
      <c r="W243" s="5">
        <f t="shared" si="70"/>
        <v>0</v>
      </c>
      <c r="X243" s="6">
        <f t="shared" si="63"/>
        <v>0</v>
      </c>
      <c r="Z243" s="30">
        <f t="shared" si="61"/>
        <v>0</v>
      </c>
    </row>
    <row r="244" spans="6:26" ht="60" customHeight="1" x14ac:dyDescent="0.2">
      <c r="F244" s="50">
        <f t="shared" si="68"/>
        <v>40411</v>
      </c>
      <c r="G244" s="53" t="s">
        <v>379</v>
      </c>
      <c r="H244" s="52">
        <f>23192200-I244</f>
        <v>2192200</v>
      </c>
      <c r="I244" s="52">
        <v>21000000</v>
      </c>
      <c r="J244" s="52"/>
      <c r="K244" s="52">
        <f>I244</f>
        <v>21000000</v>
      </c>
      <c r="L244" s="52"/>
      <c r="M244" s="59"/>
      <c r="N244" s="52"/>
      <c r="O244" s="7">
        <f t="shared" si="69"/>
        <v>21000000</v>
      </c>
      <c r="P244" s="5"/>
      <c r="Q244" s="5"/>
      <c r="R244" s="5"/>
      <c r="S244" s="5"/>
      <c r="T244" s="5"/>
      <c r="U244" s="5"/>
      <c r="V244" s="5"/>
      <c r="W244" s="5"/>
      <c r="X244" s="6"/>
      <c r="Z244" s="30">
        <f t="shared" si="61"/>
        <v>0</v>
      </c>
    </row>
    <row r="245" spans="6:26" ht="60" customHeight="1" x14ac:dyDescent="0.2">
      <c r="F245" s="50">
        <f t="shared" si="68"/>
        <v>40412</v>
      </c>
      <c r="G245" s="53" t="s">
        <v>157</v>
      </c>
      <c r="H245" s="52">
        <f>1503000-I245</f>
        <v>268000</v>
      </c>
      <c r="I245" s="52">
        <v>1235000</v>
      </c>
      <c r="J245" s="52"/>
      <c r="K245" s="52"/>
      <c r="L245" s="52">
        <f>I245</f>
        <v>1235000</v>
      </c>
      <c r="M245" s="59"/>
      <c r="N245" s="52"/>
      <c r="O245" s="7">
        <f t="shared" si="69"/>
        <v>1235000</v>
      </c>
      <c r="P245" s="5"/>
      <c r="Q245" s="5"/>
      <c r="R245" s="5"/>
      <c r="S245" s="5"/>
      <c r="T245" s="5"/>
      <c r="U245" s="5"/>
      <c r="V245" s="5"/>
      <c r="W245" s="5">
        <f t="shared" si="70"/>
        <v>0</v>
      </c>
      <c r="X245" s="6">
        <f t="shared" si="63"/>
        <v>0</v>
      </c>
      <c r="Z245" s="30">
        <f t="shared" si="61"/>
        <v>0</v>
      </c>
    </row>
    <row r="246" spans="6:26" ht="60" customHeight="1" x14ac:dyDescent="0.2">
      <c r="F246" s="50">
        <f t="shared" si="68"/>
        <v>40413</v>
      </c>
      <c r="G246" s="53" t="s">
        <v>346</v>
      </c>
      <c r="H246" s="52">
        <f>1758500-I246</f>
        <v>358500</v>
      </c>
      <c r="I246" s="52">
        <v>1400000</v>
      </c>
      <c r="J246" s="52"/>
      <c r="K246" s="52"/>
      <c r="L246" s="52"/>
      <c r="M246" s="59">
        <f t="shared" ref="M246:M252" si="72">I246</f>
        <v>1400000</v>
      </c>
      <c r="N246" s="52"/>
      <c r="O246" s="7">
        <f t="shared" si="69"/>
        <v>1400000</v>
      </c>
      <c r="P246" s="5"/>
      <c r="Q246" s="5"/>
      <c r="R246" s="5"/>
      <c r="S246" s="5"/>
      <c r="T246" s="5"/>
      <c r="U246" s="5"/>
      <c r="V246" s="5"/>
      <c r="W246" s="5">
        <f t="shared" si="70"/>
        <v>0</v>
      </c>
      <c r="X246" s="6">
        <f t="shared" si="63"/>
        <v>0</v>
      </c>
      <c r="Z246" s="30">
        <f t="shared" si="61"/>
        <v>0</v>
      </c>
    </row>
    <row r="247" spans="6:26" ht="60" customHeight="1" x14ac:dyDescent="0.2">
      <c r="F247" s="50">
        <f t="shared" si="68"/>
        <v>40414</v>
      </c>
      <c r="G247" s="53" t="s">
        <v>380</v>
      </c>
      <c r="H247" s="52"/>
      <c r="I247" s="52">
        <v>250000</v>
      </c>
      <c r="J247" s="52"/>
      <c r="K247" s="52"/>
      <c r="L247" s="52">
        <f>I247</f>
        <v>250000</v>
      </c>
      <c r="M247" s="59"/>
      <c r="N247" s="52"/>
      <c r="O247" s="7">
        <f t="shared" si="69"/>
        <v>250000</v>
      </c>
      <c r="P247" s="5"/>
      <c r="Q247" s="5"/>
      <c r="R247" s="5"/>
      <c r="S247" s="5"/>
      <c r="T247" s="5"/>
      <c r="U247" s="5"/>
      <c r="V247" s="5"/>
      <c r="W247" s="5">
        <f t="shared" si="70"/>
        <v>0</v>
      </c>
      <c r="X247" s="6"/>
      <c r="Z247" s="30">
        <f t="shared" si="61"/>
        <v>0</v>
      </c>
    </row>
    <row r="248" spans="6:26" ht="60" customHeight="1" x14ac:dyDescent="0.2">
      <c r="F248" s="50">
        <f t="shared" si="68"/>
        <v>40415</v>
      </c>
      <c r="G248" s="53" t="s">
        <v>158</v>
      </c>
      <c r="H248" s="52">
        <f>1476000-I248</f>
        <v>1176000</v>
      </c>
      <c r="I248" s="52">
        <v>300000</v>
      </c>
      <c r="J248" s="52"/>
      <c r="K248" s="52"/>
      <c r="L248" s="52"/>
      <c r="M248" s="59">
        <f t="shared" si="72"/>
        <v>300000</v>
      </c>
      <c r="N248" s="52"/>
      <c r="O248" s="7">
        <f t="shared" si="69"/>
        <v>300000</v>
      </c>
      <c r="P248" s="5"/>
      <c r="Q248" s="5"/>
      <c r="R248" s="5"/>
      <c r="S248" s="5"/>
      <c r="T248" s="5"/>
      <c r="U248" s="5"/>
      <c r="V248" s="5"/>
      <c r="W248" s="5">
        <f t="shared" si="70"/>
        <v>0</v>
      </c>
      <c r="X248" s="6">
        <f t="shared" si="63"/>
        <v>0</v>
      </c>
      <c r="Z248" s="30">
        <f t="shared" si="61"/>
        <v>0</v>
      </c>
    </row>
    <row r="249" spans="6:26" ht="60" customHeight="1" x14ac:dyDescent="0.2">
      <c r="F249" s="50">
        <f t="shared" si="68"/>
        <v>40416</v>
      </c>
      <c r="G249" s="53" t="s">
        <v>159</v>
      </c>
      <c r="H249" s="52">
        <f>984000-I249</f>
        <v>584000</v>
      </c>
      <c r="I249" s="52">
        <v>400000</v>
      </c>
      <c r="J249" s="52"/>
      <c r="K249" s="52"/>
      <c r="L249" s="52"/>
      <c r="M249" s="59">
        <f t="shared" si="72"/>
        <v>400000</v>
      </c>
      <c r="N249" s="52"/>
      <c r="O249" s="7">
        <f t="shared" si="69"/>
        <v>400000</v>
      </c>
      <c r="P249" s="5"/>
      <c r="Q249" s="5"/>
      <c r="R249" s="5"/>
      <c r="S249" s="5"/>
      <c r="T249" s="5"/>
      <c r="U249" s="5"/>
      <c r="V249" s="5"/>
      <c r="W249" s="5">
        <f t="shared" si="70"/>
        <v>0</v>
      </c>
      <c r="X249" s="6">
        <f t="shared" si="63"/>
        <v>0</v>
      </c>
      <c r="Z249" s="30">
        <f t="shared" si="61"/>
        <v>0</v>
      </c>
    </row>
    <row r="250" spans="6:26" ht="60" customHeight="1" x14ac:dyDescent="0.2">
      <c r="F250" s="50">
        <f t="shared" si="68"/>
        <v>40417</v>
      </c>
      <c r="G250" s="53" t="s">
        <v>160</v>
      </c>
      <c r="H250" s="52">
        <v>100000</v>
      </c>
      <c r="I250" s="52"/>
      <c r="J250" s="52"/>
      <c r="K250" s="52"/>
      <c r="L250" s="52"/>
      <c r="M250" s="59"/>
      <c r="N250" s="52"/>
      <c r="O250" s="7">
        <f t="shared" si="69"/>
        <v>0</v>
      </c>
      <c r="P250" s="5"/>
      <c r="Q250" s="5"/>
      <c r="R250" s="5"/>
      <c r="S250" s="5"/>
      <c r="T250" s="5"/>
      <c r="U250" s="5"/>
      <c r="V250" s="5"/>
      <c r="W250" s="5">
        <f t="shared" si="70"/>
        <v>0</v>
      </c>
      <c r="X250" s="6">
        <f t="shared" si="63"/>
        <v>0</v>
      </c>
      <c r="Z250" s="30">
        <f t="shared" si="61"/>
        <v>0</v>
      </c>
    </row>
    <row r="251" spans="6:26" ht="60" customHeight="1" x14ac:dyDescent="0.2">
      <c r="F251" s="50">
        <f t="shared" si="68"/>
        <v>40418</v>
      </c>
      <c r="G251" s="53" t="s">
        <v>304</v>
      </c>
      <c r="H251" s="52"/>
      <c r="I251" s="52">
        <v>25000</v>
      </c>
      <c r="J251" s="52"/>
      <c r="K251" s="52">
        <f>I251</f>
        <v>25000</v>
      </c>
      <c r="L251" s="52"/>
      <c r="M251" s="59"/>
      <c r="N251" s="52"/>
      <c r="O251" s="7">
        <f t="shared" si="69"/>
        <v>25000</v>
      </c>
      <c r="P251" s="5"/>
      <c r="Q251" s="5"/>
      <c r="R251" s="5"/>
      <c r="S251" s="5"/>
      <c r="T251" s="5"/>
      <c r="U251" s="5"/>
      <c r="V251" s="5"/>
      <c r="W251" s="5">
        <f t="shared" si="70"/>
        <v>0</v>
      </c>
      <c r="X251" s="6">
        <f t="shared" si="63"/>
        <v>0</v>
      </c>
      <c r="Z251" s="30">
        <f t="shared" si="61"/>
        <v>0</v>
      </c>
    </row>
    <row r="252" spans="6:26" ht="60" customHeight="1" x14ac:dyDescent="0.2">
      <c r="F252" s="50">
        <f t="shared" si="68"/>
        <v>40419</v>
      </c>
      <c r="G252" s="53" t="s">
        <v>294</v>
      </c>
      <c r="H252" s="59">
        <f>200000-I252</f>
        <v>100000</v>
      </c>
      <c r="I252" s="52">
        <v>100000</v>
      </c>
      <c r="J252" s="52"/>
      <c r="K252" s="52"/>
      <c r="L252" s="52"/>
      <c r="M252" s="59">
        <f t="shared" si="72"/>
        <v>100000</v>
      </c>
      <c r="N252" s="52"/>
      <c r="O252" s="7">
        <f t="shared" si="69"/>
        <v>100000</v>
      </c>
      <c r="P252" s="5"/>
      <c r="Q252" s="5"/>
      <c r="R252" s="5"/>
      <c r="S252" s="5"/>
      <c r="T252" s="5"/>
      <c r="U252" s="5"/>
      <c r="V252" s="5"/>
      <c r="W252" s="5">
        <f t="shared" si="70"/>
        <v>0</v>
      </c>
      <c r="X252" s="6">
        <f t="shared" si="63"/>
        <v>0</v>
      </c>
      <c r="Z252" s="30">
        <f t="shared" si="61"/>
        <v>0</v>
      </c>
    </row>
    <row r="253" spans="6:26" ht="60" customHeight="1" x14ac:dyDescent="0.2">
      <c r="F253" s="50">
        <f t="shared" si="68"/>
        <v>40420</v>
      </c>
      <c r="G253" s="53" t="s">
        <v>161</v>
      </c>
      <c r="H253" s="59">
        <f>3100000-I253</f>
        <v>2500000</v>
      </c>
      <c r="I253" s="52">
        <v>600000</v>
      </c>
      <c r="J253" s="52"/>
      <c r="K253" s="52">
        <f>I253</f>
        <v>600000</v>
      </c>
      <c r="L253" s="52"/>
      <c r="M253" s="59"/>
      <c r="N253" s="52"/>
      <c r="O253" s="7">
        <f t="shared" si="69"/>
        <v>600000</v>
      </c>
      <c r="P253" s="5"/>
      <c r="Q253" s="5"/>
      <c r="R253" s="5"/>
      <c r="S253" s="5"/>
      <c r="T253" s="5"/>
      <c r="U253" s="5"/>
      <c r="V253" s="5"/>
      <c r="W253" s="5">
        <f t="shared" si="70"/>
        <v>0</v>
      </c>
      <c r="X253" s="6">
        <f t="shared" si="63"/>
        <v>0</v>
      </c>
      <c r="Z253" s="30">
        <f t="shared" si="61"/>
        <v>0</v>
      </c>
    </row>
    <row r="254" spans="6:26" ht="60" customHeight="1" x14ac:dyDescent="0.2">
      <c r="F254" s="50">
        <f t="shared" si="68"/>
        <v>40421</v>
      </c>
      <c r="G254" s="53" t="s">
        <v>162</v>
      </c>
      <c r="H254" s="59">
        <f>600000-I254</f>
        <v>350000</v>
      </c>
      <c r="I254" s="52">
        <v>250000</v>
      </c>
      <c r="J254" s="52"/>
      <c r="K254" s="52"/>
      <c r="L254" s="52"/>
      <c r="M254" s="59">
        <f>I254</f>
        <v>250000</v>
      </c>
      <c r="N254" s="52"/>
      <c r="O254" s="7">
        <f t="shared" si="69"/>
        <v>250000</v>
      </c>
      <c r="P254" s="5"/>
      <c r="Q254" s="5"/>
      <c r="R254" s="5"/>
      <c r="S254" s="5"/>
      <c r="T254" s="5"/>
      <c r="U254" s="5"/>
      <c r="V254" s="5"/>
      <c r="W254" s="5">
        <f t="shared" si="70"/>
        <v>0</v>
      </c>
      <c r="X254" s="6">
        <f t="shared" si="63"/>
        <v>0</v>
      </c>
      <c r="Z254" s="30">
        <f t="shared" si="61"/>
        <v>0</v>
      </c>
    </row>
    <row r="255" spans="6:26" ht="60" customHeight="1" x14ac:dyDescent="0.2">
      <c r="F255" s="50">
        <f t="shared" si="68"/>
        <v>40422</v>
      </c>
      <c r="G255" s="53" t="s">
        <v>340</v>
      </c>
      <c r="H255" s="59"/>
      <c r="I255" s="52">
        <v>1800000</v>
      </c>
      <c r="J255" s="52"/>
      <c r="K255" s="52">
        <f>I255/2</f>
        <v>900000</v>
      </c>
      <c r="L255" s="52"/>
      <c r="M255" s="59">
        <f>I255-K255</f>
        <v>900000</v>
      </c>
      <c r="N255" s="52"/>
      <c r="O255" s="7">
        <f t="shared" si="69"/>
        <v>1800000</v>
      </c>
      <c r="P255" s="5"/>
      <c r="Q255" s="5"/>
      <c r="R255" s="5"/>
      <c r="S255" s="5"/>
      <c r="T255" s="5"/>
      <c r="U255" s="5"/>
      <c r="V255" s="5"/>
      <c r="W255" s="5">
        <f t="shared" si="70"/>
        <v>0</v>
      </c>
      <c r="X255" s="6">
        <f t="shared" si="63"/>
        <v>0</v>
      </c>
      <c r="Z255" s="30">
        <f t="shared" si="61"/>
        <v>0</v>
      </c>
    </row>
    <row r="256" spans="6:26" ht="60" customHeight="1" x14ac:dyDescent="0.2">
      <c r="F256" s="50">
        <f t="shared" si="68"/>
        <v>40423</v>
      </c>
      <c r="G256" s="53" t="s">
        <v>164</v>
      </c>
      <c r="H256" s="52">
        <v>602225</v>
      </c>
      <c r="I256" s="52"/>
      <c r="J256" s="52"/>
      <c r="K256" s="52"/>
      <c r="L256" s="52"/>
      <c r="M256" s="59"/>
      <c r="N256" s="52"/>
      <c r="O256" s="7">
        <f t="shared" si="69"/>
        <v>0</v>
      </c>
      <c r="P256" s="5"/>
      <c r="Q256" s="5"/>
      <c r="R256" s="5"/>
      <c r="S256" s="5"/>
      <c r="T256" s="5"/>
      <c r="U256" s="5"/>
      <c r="V256" s="5"/>
      <c r="W256" s="5">
        <f t="shared" si="70"/>
        <v>0</v>
      </c>
      <c r="X256" s="6">
        <f t="shared" si="63"/>
        <v>0</v>
      </c>
      <c r="Z256" s="30">
        <f t="shared" si="61"/>
        <v>0</v>
      </c>
    </row>
    <row r="257" spans="6:26" ht="60" customHeight="1" x14ac:dyDescent="0.2">
      <c r="F257" s="50">
        <f t="shared" si="68"/>
        <v>40424</v>
      </c>
      <c r="G257" s="53" t="s">
        <v>165</v>
      </c>
      <c r="H257" s="59"/>
      <c r="I257" s="52">
        <v>100000</v>
      </c>
      <c r="J257" s="52"/>
      <c r="K257" s="52"/>
      <c r="L257" s="52">
        <f>I257</f>
        <v>100000</v>
      </c>
      <c r="M257" s="59"/>
      <c r="N257" s="52"/>
      <c r="O257" s="7">
        <f t="shared" si="69"/>
        <v>100000</v>
      </c>
      <c r="P257" s="5"/>
      <c r="Q257" s="5"/>
      <c r="R257" s="5"/>
      <c r="S257" s="5"/>
      <c r="T257" s="5"/>
      <c r="U257" s="5"/>
      <c r="V257" s="5"/>
      <c r="W257" s="5">
        <f t="shared" si="70"/>
        <v>0</v>
      </c>
      <c r="X257" s="6">
        <f t="shared" si="63"/>
        <v>0</v>
      </c>
      <c r="Z257" s="30">
        <f t="shared" si="61"/>
        <v>0</v>
      </c>
    </row>
    <row r="258" spans="6:26" ht="60" customHeight="1" x14ac:dyDescent="0.2">
      <c r="F258" s="50">
        <f t="shared" si="68"/>
        <v>40425</v>
      </c>
      <c r="G258" s="53" t="s">
        <v>305</v>
      </c>
      <c r="H258" s="52">
        <v>200000</v>
      </c>
      <c r="I258" s="52"/>
      <c r="J258" s="52"/>
      <c r="K258" s="52"/>
      <c r="L258" s="52"/>
      <c r="M258" s="59"/>
      <c r="N258" s="52"/>
      <c r="O258" s="7">
        <f t="shared" si="69"/>
        <v>0</v>
      </c>
      <c r="P258" s="5"/>
      <c r="Q258" s="5"/>
      <c r="R258" s="5"/>
      <c r="S258" s="5"/>
      <c r="T258" s="5"/>
      <c r="U258" s="5"/>
      <c r="V258" s="5"/>
      <c r="W258" s="5">
        <f t="shared" si="70"/>
        <v>0</v>
      </c>
      <c r="X258" s="6">
        <f t="shared" ref="X258:X301" si="73">Q258-R258-W258</f>
        <v>0</v>
      </c>
      <c r="Z258" s="30">
        <f t="shared" si="61"/>
        <v>0</v>
      </c>
    </row>
    <row r="259" spans="6:26" ht="60" customHeight="1" x14ac:dyDescent="0.2">
      <c r="F259" s="50">
        <f t="shared" si="68"/>
        <v>40426</v>
      </c>
      <c r="G259" s="53" t="s">
        <v>321</v>
      </c>
      <c r="H259" s="52">
        <v>200000</v>
      </c>
      <c r="I259" s="52"/>
      <c r="J259" s="52"/>
      <c r="K259" s="52"/>
      <c r="L259" s="52"/>
      <c r="M259" s="59"/>
      <c r="N259" s="52"/>
      <c r="O259" s="7">
        <f t="shared" si="69"/>
        <v>0</v>
      </c>
      <c r="P259" s="5"/>
      <c r="Q259" s="5"/>
      <c r="R259" s="5"/>
      <c r="S259" s="5"/>
      <c r="T259" s="5"/>
      <c r="U259" s="5"/>
      <c r="V259" s="5"/>
      <c r="W259" s="5">
        <f t="shared" si="70"/>
        <v>0</v>
      </c>
      <c r="X259" s="6"/>
      <c r="Z259" s="30">
        <f t="shared" si="61"/>
        <v>0</v>
      </c>
    </row>
    <row r="260" spans="6:26" ht="60" customHeight="1" x14ac:dyDescent="0.2">
      <c r="F260" s="50">
        <f t="shared" si="68"/>
        <v>40427</v>
      </c>
      <c r="G260" s="53" t="s">
        <v>381</v>
      </c>
      <c r="H260" s="52">
        <f>3500000+300000</f>
        <v>3800000</v>
      </c>
      <c r="I260" s="52"/>
      <c r="J260" s="52"/>
      <c r="K260" s="52"/>
      <c r="L260" s="52"/>
      <c r="M260" s="59"/>
      <c r="N260" s="52"/>
      <c r="O260" s="7">
        <f t="shared" si="69"/>
        <v>0</v>
      </c>
      <c r="P260" s="5"/>
      <c r="Q260" s="5"/>
      <c r="R260" s="5"/>
      <c r="S260" s="5"/>
      <c r="T260" s="5"/>
      <c r="U260" s="5"/>
      <c r="V260" s="5"/>
      <c r="W260" s="5"/>
      <c r="X260" s="6"/>
      <c r="Z260" s="30">
        <f t="shared" si="61"/>
        <v>0</v>
      </c>
    </row>
    <row r="261" spans="6:26" ht="60" customHeight="1" x14ac:dyDescent="0.2">
      <c r="F261" s="50">
        <f t="shared" si="68"/>
        <v>40428</v>
      </c>
      <c r="G261" s="53" t="s">
        <v>452</v>
      </c>
      <c r="H261" s="59"/>
      <c r="I261" s="52">
        <v>180000</v>
      </c>
      <c r="J261" s="52"/>
      <c r="K261" s="52">
        <f>I261</f>
        <v>180000</v>
      </c>
      <c r="L261" s="52"/>
      <c r="M261" s="59"/>
      <c r="N261" s="52"/>
      <c r="O261" s="7">
        <f t="shared" si="69"/>
        <v>180000</v>
      </c>
      <c r="P261" s="5"/>
      <c r="Q261" s="5"/>
      <c r="R261" s="5"/>
      <c r="S261" s="5"/>
      <c r="T261" s="5"/>
      <c r="U261" s="5"/>
      <c r="V261" s="5"/>
      <c r="W261" s="5"/>
      <c r="X261" s="6"/>
      <c r="Z261" s="30">
        <f t="shared" si="61"/>
        <v>0</v>
      </c>
    </row>
    <row r="262" spans="6:26" ht="60" customHeight="1" x14ac:dyDescent="0.2">
      <c r="F262" s="58"/>
      <c r="G262" s="56" t="s">
        <v>166</v>
      </c>
      <c r="H262" s="57">
        <f t="shared" ref="H262:W262" si="74">SUM(H234:H261)</f>
        <v>35737611</v>
      </c>
      <c r="I262" s="57">
        <f t="shared" si="74"/>
        <v>88755000</v>
      </c>
      <c r="J262" s="57">
        <f t="shared" si="74"/>
        <v>0</v>
      </c>
      <c r="K262" s="57">
        <f t="shared" si="74"/>
        <v>22905000</v>
      </c>
      <c r="L262" s="57">
        <f t="shared" si="74"/>
        <v>58585000</v>
      </c>
      <c r="M262" s="57">
        <f t="shared" si="74"/>
        <v>7265000</v>
      </c>
      <c r="N262" s="57">
        <f t="shared" si="74"/>
        <v>0</v>
      </c>
      <c r="O262" s="6">
        <f t="shared" si="74"/>
        <v>88755000</v>
      </c>
      <c r="P262" s="6">
        <f t="shared" si="74"/>
        <v>0</v>
      </c>
      <c r="Q262" s="6">
        <f t="shared" si="74"/>
        <v>0</v>
      </c>
      <c r="R262" s="6">
        <f t="shared" si="74"/>
        <v>0</v>
      </c>
      <c r="S262" s="6">
        <f t="shared" si="74"/>
        <v>0</v>
      </c>
      <c r="T262" s="6">
        <f t="shared" si="74"/>
        <v>0</v>
      </c>
      <c r="U262" s="6">
        <f t="shared" si="74"/>
        <v>0</v>
      </c>
      <c r="V262" s="6">
        <f t="shared" si="74"/>
        <v>0</v>
      </c>
      <c r="W262" s="6">
        <f t="shared" si="74"/>
        <v>0</v>
      </c>
      <c r="X262" s="6">
        <f t="shared" si="73"/>
        <v>0</v>
      </c>
      <c r="Z262" s="30">
        <f t="shared" si="61"/>
        <v>0</v>
      </c>
    </row>
    <row r="263" spans="6:26" ht="60" customHeight="1" x14ac:dyDescent="0.2">
      <c r="F263" s="50">
        <v>40500</v>
      </c>
      <c r="G263" s="51" t="s">
        <v>167</v>
      </c>
      <c r="H263" s="59"/>
      <c r="I263" s="52"/>
      <c r="J263" s="52"/>
      <c r="K263" s="52"/>
      <c r="L263" s="52"/>
      <c r="M263" s="59"/>
      <c r="N263" s="52"/>
      <c r="O263" s="7"/>
      <c r="P263" s="5"/>
      <c r="Q263" s="5"/>
      <c r="R263" s="5"/>
      <c r="S263" s="5"/>
      <c r="T263" s="5"/>
      <c r="U263" s="5"/>
      <c r="V263" s="5"/>
      <c r="W263" s="5"/>
      <c r="X263" s="6">
        <f t="shared" si="73"/>
        <v>0</v>
      </c>
      <c r="Z263" s="30">
        <f t="shared" si="61"/>
        <v>0</v>
      </c>
    </row>
    <row r="264" spans="6:26" ht="60" customHeight="1" x14ac:dyDescent="0.2">
      <c r="F264" s="50">
        <f>+F263+1</f>
        <v>40501</v>
      </c>
      <c r="G264" s="53" t="s">
        <v>168</v>
      </c>
      <c r="H264" s="52">
        <f>6275000-I264</f>
        <v>2275000</v>
      </c>
      <c r="I264" s="52">
        <v>4000000</v>
      </c>
      <c r="J264" s="52">
        <v>1500000</v>
      </c>
      <c r="K264" s="52">
        <v>1000000</v>
      </c>
      <c r="L264" s="52">
        <f>I264-J264-K264</f>
        <v>1500000</v>
      </c>
      <c r="M264" s="59"/>
      <c r="N264" s="52"/>
      <c r="O264" s="7">
        <f>SUM(K264:N264)</f>
        <v>2500000</v>
      </c>
      <c r="P264" s="5"/>
      <c r="Q264" s="5"/>
      <c r="R264" s="5"/>
      <c r="S264" s="5"/>
      <c r="T264" s="5"/>
      <c r="U264" s="5"/>
      <c r="V264" s="5"/>
      <c r="W264" s="5">
        <f>V264+U264+T264+S264</f>
        <v>0</v>
      </c>
      <c r="X264" s="6">
        <f t="shared" si="73"/>
        <v>0</v>
      </c>
      <c r="Z264" s="30">
        <f t="shared" si="61"/>
        <v>0</v>
      </c>
    </row>
    <row r="265" spans="6:26" ht="60" customHeight="1" x14ac:dyDescent="0.2">
      <c r="F265" s="50">
        <f>+F264+1</f>
        <v>40502</v>
      </c>
      <c r="G265" s="53" t="s">
        <v>322</v>
      </c>
      <c r="H265" s="52"/>
      <c r="I265" s="52">
        <v>50000</v>
      </c>
      <c r="J265" s="52"/>
      <c r="K265" s="52"/>
      <c r="L265" s="52"/>
      <c r="M265" s="59">
        <f>I265</f>
        <v>50000</v>
      </c>
      <c r="N265" s="52"/>
      <c r="O265" s="7">
        <f>SUM(K265:N265)</f>
        <v>50000</v>
      </c>
      <c r="P265" s="5"/>
      <c r="Q265" s="5"/>
      <c r="R265" s="5"/>
      <c r="S265" s="5"/>
      <c r="T265" s="5"/>
      <c r="U265" s="5"/>
      <c r="V265" s="5"/>
      <c r="W265" s="5">
        <f>V265+U265+T265+S265</f>
        <v>0</v>
      </c>
      <c r="X265" s="6"/>
      <c r="Z265" s="30">
        <f t="shared" si="61"/>
        <v>0</v>
      </c>
    </row>
    <row r="266" spans="6:26" ht="60" customHeight="1" x14ac:dyDescent="0.2">
      <c r="F266" s="58"/>
      <c r="G266" s="56" t="s">
        <v>169</v>
      </c>
      <c r="H266" s="57">
        <f t="shared" ref="H266:W266" si="75">SUM(H264:H265)</f>
        <v>2275000</v>
      </c>
      <c r="I266" s="57">
        <f t="shared" si="75"/>
        <v>4050000</v>
      </c>
      <c r="J266" s="57">
        <f t="shared" si="75"/>
        <v>1500000</v>
      </c>
      <c r="K266" s="57">
        <f t="shared" si="75"/>
        <v>1000000</v>
      </c>
      <c r="L266" s="57">
        <f t="shared" si="75"/>
        <v>1500000</v>
      </c>
      <c r="M266" s="57">
        <f t="shared" si="75"/>
        <v>50000</v>
      </c>
      <c r="N266" s="57">
        <f t="shared" si="75"/>
        <v>0</v>
      </c>
      <c r="O266" s="6">
        <f t="shared" si="75"/>
        <v>2550000</v>
      </c>
      <c r="P266" s="6">
        <f t="shared" si="75"/>
        <v>0</v>
      </c>
      <c r="Q266" s="6">
        <f t="shared" si="75"/>
        <v>0</v>
      </c>
      <c r="R266" s="6">
        <f t="shared" si="75"/>
        <v>0</v>
      </c>
      <c r="S266" s="6">
        <f t="shared" si="75"/>
        <v>0</v>
      </c>
      <c r="T266" s="6">
        <f t="shared" si="75"/>
        <v>0</v>
      </c>
      <c r="U266" s="6">
        <f t="shared" si="75"/>
        <v>0</v>
      </c>
      <c r="V266" s="6">
        <f t="shared" si="75"/>
        <v>0</v>
      </c>
      <c r="W266" s="6">
        <f t="shared" si="75"/>
        <v>0</v>
      </c>
      <c r="X266" s="6">
        <f t="shared" si="73"/>
        <v>0</v>
      </c>
      <c r="Z266" s="30">
        <f t="shared" ref="Z266:Z329" si="76">I266-J266-SUM(K266:N266)</f>
        <v>0</v>
      </c>
    </row>
    <row r="267" spans="6:26" ht="60" customHeight="1" x14ac:dyDescent="0.2">
      <c r="F267" s="50">
        <v>40600</v>
      </c>
      <c r="G267" s="51" t="s">
        <v>382</v>
      </c>
      <c r="H267" s="52"/>
      <c r="I267" s="52"/>
      <c r="J267" s="52"/>
      <c r="K267" s="52"/>
      <c r="L267" s="52"/>
      <c r="M267" s="59"/>
      <c r="N267" s="52"/>
      <c r="O267" s="7"/>
      <c r="P267" s="5"/>
      <c r="Q267" s="5"/>
      <c r="R267" s="5"/>
      <c r="S267" s="5"/>
      <c r="T267" s="5"/>
      <c r="U267" s="5"/>
      <c r="V267" s="5"/>
      <c r="W267" s="5"/>
      <c r="X267" s="6">
        <f t="shared" si="73"/>
        <v>0</v>
      </c>
      <c r="Z267" s="30">
        <f t="shared" si="76"/>
        <v>0</v>
      </c>
    </row>
    <row r="268" spans="6:26" ht="60" customHeight="1" x14ac:dyDescent="0.2">
      <c r="F268" s="50">
        <f>F267+1</f>
        <v>40601</v>
      </c>
      <c r="G268" s="53" t="s">
        <v>170</v>
      </c>
      <c r="H268" s="52">
        <f>949178-I268</f>
        <v>399178</v>
      </c>
      <c r="I268" s="52">
        <v>550000</v>
      </c>
      <c r="J268" s="52"/>
      <c r="K268" s="52"/>
      <c r="L268" s="52"/>
      <c r="M268" s="59">
        <f t="shared" ref="M268:M273" si="77">I268</f>
        <v>550000</v>
      </c>
      <c r="N268" s="52"/>
      <c r="O268" s="7">
        <f t="shared" ref="O268:O278" si="78">SUM(K268:N268)</f>
        <v>550000</v>
      </c>
      <c r="P268" s="5"/>
      <c r="Q268" s="5"/>
      <c r="R268" s="5"/>
      <c r="S268" s="5"/>
      <c r="T268" s="5"/>
      <c r="U268" s="5"/>
      <c r="V268" s="5"/>
      <c r="W268" s="5">
        <f t="shared" ref="W268:W278" si="79">V268+U268+T268+S268</f>
        <v>0</v>
      </c>
      <c r="X268" s="6">
        <f t="shared" si="73"/>
        <v>0</v>
      </c>
      <c r="Z268" s="30">
        <f t="shared" si="76"/>
        <v>0</v>
      </c>
    </row>
    <row r="269" spans="6:26" ht="60" customHeight="1" x14ac:dyDescent="0.2">
      <c r="F269" s="50">
        <f t="shared" ref="F269:F278" si="80">F268+1</f>
        <v>40602</v>
      </c>
      <c r="G269" s="53" t="s">
        <v>171</v>
      </c>
      <c r="H269" s="52">
        <f>1254072-I269</f>
        <v>54072</v>
      </c>
      <c r="I269" s="52">
        <v>1200000</v>
      </c>
      <c r="J269" s="52"/>
      <c r="K269" s="52"/>
      <c r="L269" s="52"/>
      <c r="M269" s="59">
        <f t="shared" si="77"/>
        <v>1200000</v>
      </c>
      <c r="N269" s="52"/>
      <c r="O269" s="7">
        <f t="shared" si="78"/>
        <v>1200000</v>
      </c>
      <c r="P269" s="5"/>
      <c r="Q269" s="5"/>
      <c r="R269" s="5"/>
      <c r="S269" s="5"/>
      <c r="T269" s="5"/>
      <c r="U269" s="5"/>
      <c r="V269" s="5"/>
      <c r="W269" s="5">
        <f t="shared" si="79"/>
        <v>0</v>
      </c>
      <c r="X269" s="6">
        <f t="shared" si="73"/>
        <v>0</v>
      </c>
      <c r="Z269" s="30">
        <f t="shared" si="76"/>
        <v>0</v>
      </c>
    </row>
    <row r="270" spans="6:26" ht="60" customHeight="1" x14ac:dyDescent="0.2">
      <c r="F270" s="50">
        <f t="shared" si="80"/>
        <v>40603</v>
      </c>
      <c r="G270" s="53" t="s">
        <v>172</v>
      </c>
      <c r="H270" s="59"/>
      <c r="I270" s="52">
        <v>10000</v>
      </c>
      <c r="J270" s="52"/>
      <c r="K270" s="52"/>
      <c r="L270" s="52"/>
      <c r="M270" s="59">
        <f>I270</f>
        <v>10000</v>
      </c>
      <c r="N270" s="52"/>
      <c r="O270" s="7">
        <f t="shared" si="78"/>
        <v>10000</v>
      </c>
      <c r="P270" s="5"/>
      <c r="Q270" s="5"/>
      <c r="R270" s="5"/>
      <c r="S270" s="5"/>
      <c r="T270" s="5"/>
      <c r="U270" s="5"/>
      <c r="V270" s="5"/>
      <c r="W270" s="5">
        <f t="shared" si="79"/>
        <v>0</v>
      </c>
      <c r="X270" s="6">
        <f t="shared" si="73"/>
        <v>0</v>
      </c>
      <c r="Z270" s="30">
        <f t="shared" si="76"/>
        <v>0</v>
      </c>
    </row>
    <row r="271" spans="6:26" ht="60" customHeight="1" x14ac:dyDescent="0.2">
      <c r="F271" s="50">
        <f t="shared" si="80"/>
        <v>40604</v>
      </c>
      <c r="G271" s="53" t="s">
        <v>173</v>
      </c>
      <c r="H271" s="59"/>
      <c r="I271" s="52">
        <v>150000</v>
      </c>
      <c r="J271" s="52"/>
      <c r="K271" s="52"/>
      <c r="L271" s="52"/>
      <c r="M271" s="59">
        <f t="shared" si="77"/>
        <v>150000</v>
      </c>
      <c r="N271" s="52"/>
      <c r="O271" s="7">
        <f t="shared" si="78"/>
        <v>150000</v>
      </c>
      <c r="P271" s="5"/>
      <c r="Q271" s="5"/>
      <c r="R271" s="5"/>
      <c r="S271" s="5"/>
      <c r="T271" s="5"/>
      <c r="U271" s="5"/>
      <c r="V271" s="5"/>
      <c r="W271" s="5">
        <f t="shared" si="79"/>
        <v>0</v>
      </c>
      <c r="X271" s="6">
        <f t="shared" si="73"/>
        <v>0</v>
      </c>
      <c r="Z271" s="30">
        <f t="shared" si="76"/>
        <v>0</v>
      </c>
    </row>
    <row r="272" spans="6:26" ht="60" customHeight="1" x14ac:dyDescent="0.2">
      <c r="F272" s="50">
        <f t="shared" si="80"/>
        <v>40605</v>
      </c>
      <c r="G272" s="53" t="s">
        <v>174</v>
      </c>
      <c r="H272" s="59">
        <f>150000-I272</f>
        <v>100000</v>
      </c>
      <c r="I272" s="52">
        <v>50000</v>
      </c>
      <c r="J272" s="52"/>
      <c r="K272" s="52"/>
      <c r="L272" s="52"/>
      <c r="M272" s="59">
        <f t="shared" si="77"/>
        <v>50000</v>
      </c>
      <c r="N272" s="52"/>
      <c r="O272" s="7">
        <f t="shared" si="78"/>
        <v>50000</v>
      </c>
      <c r="P272" s="5"/>
      <c r="Q272" s="5"/>
      <c r="R272" s="5"/>
      <c r="S272" s="5"/>
      <c r="T272" s="5"/>
      <c r="U272" s="5"/>
      <c r="V272" s="5"/>
      <c r="W272" s="5">
        <f t="shared" si="79"/>
        <v>0</v>
      </c>
      <c r="X272" s="6">
        <f t="shared" si="73"/>
        <v>0</v>
      </c>
      <c r="Z272" s="30">
        <f t="shared" si="76"/>
        <v>0</v>
      </c>
    </row>
    <row r="273" spans="6:26" ht="60" customHeight="1" x14ac:dyDescent="0.2">
      <c r="F273" s="50">
        <f t="shared" si="80"/>
        <v>40606</v>
      </c>
      <c r="G273" s="53" t="s">
        <v>175</v>
      </c>
      <c r="H273" s="52">
        <f>708718-I273</f>
        <v>208718</v>
      </c>
      <c r="I273" s="52">
        <v>500000</v>
      </c>
      <c r="J273" s="52"/>
      <c r="K273" s="52"/>
      <c r="L273" s="52"/>
      <c r="M273" s="59">
        <f t="shared" si="77"/>
        <v>500000</v>
      </c>
      <c r="N273" s="52"/>
      <c r="O273" s="7">
        <f t="shared" si="78"/>
        <v>500000</v>
      </c>
      <c r="P273" s="5"/>
      <c r="Q273" s="5"/>
      <c r="R273" s="5"/>
      <c r="S273" s="5"/>
      <c r="T273" s="5"/>
      <c r="U273" s="5"/>
      <c r="V273" s="5"/>
      <c r="W273" s="5">
        <f t="shared" si="79"/>
        <v>0</v>
      </c>
      <c r="X273" s="6">
        <f t="shared" si="73"/>
        <v>0</v>
      </c>
      <c r="Z273" s="30">
        <f t="shared" si="76"/>
        <v>0</v>
      </c>
    </row>
    <row r="274" spans="6:26" ht="60" customHeight="1" x14ac:dyDescent="0.2">
      <c r="F274" s="50">
        <f t="shared" si="80"/>
        <v>40607</v>
      </c>
      <c r="G274" s="53" t="s">
        <v>176</v>
      </c>
      <c r="H274" s="52">
        <v>169533</v>
      </c>
      <c r="I274" s="52"/>
      <c r="J274" s="52"/>
      <c r="K274" s="52"/>
      <c r="L274" s="52"/>
      <c r="M274" s="59"/>
      <c r="N274" s="52"/>
      <c r="O274" s="7">
        <f t="shared" si="78"/>
        <v>0</v>
      </c>
      <c r="P274" s="5"/>
      <c r="Q274" s="5"/>
      <c r="R274" s="5"/>
      <c r="S274" s="5"/>
      <c r="T274" s="5"/>
      <c r="U274" s="5"/>
      <c r="V274" s="5"/>
      <c r="W274" s="5">
        <f t="shared" si="79"/>
        <v>0</v>
      </c>
      <c r="X274" s="6">
        <f t="shared" si="73"/>
        <v>0</v>
      </c>
      <c r="Z274" s="30">
        <f t="shared" si="76"/>
        <v>0</v>
      </c>
    </row>
    <row r="275" spans="6:26" ht="60" customHeight="1" x14ac:dyDescent="0.2">
      <c r="F275" s="50">
        <f t="shared" si="80"/>
        <v>40608</v>
      </c>
      <c r="G275" s="53" t="s">
        <v>177</v>
      </c>
      <c r="H275" s="59"/>
      <c r="I275" s="59">
        <v>1300000</v>
      </c>
      <c r="J275" s="52"/>
      <c r="K275" s="52"/>
      <c r="L275" s="52"/>
      <c r="M275" s="59">
        <f>I275</f>
        <v>1300000</v>
      </c>
      <c r="N275" s="52"/>
      <c r="O275" s="7">
        <f t="shared" si="78"/>
        <v>1300000</v>
      </c>
      <c r="P275" s="5"/>
      <c r="Q275" s="5"/>
      <c r="R275" s="5"/>
      <c r="S275" s="5"/>
      <c r="T275" s="5"/>
      <c r="U275" s="5"/>
      <c r="V275" s="5"/>
      <c r="W275" s="5">
        <f t="shared" si="79"/>
        <v>0</v>
      </c>
      <c r="X275" s="6">
        <f t="shared" si="73"/>
        <v>0</v>
      </c>
      <c r="Z275" s="30">
        <f t="shared" si="76"/>
        <v>0</v>
      </c>
    </row>
    <row r="276" spans="6:26" ht="60" customHeight="1" x14ac:dyDescent="0.2">
      <c r="F276" s="50">
        <f t="shared" si="80"/>
        <v>40609</v>
      </c>
      <c r="G276" s="53" t="s">
        <v>178</v>
      </c>
      <c r="H276" s="59"/>
      <c r="I276" s="59">
        <v>500000</v>
      </c>
      <c r="J276" s="52"/>
      <c r="K276" s="52"/>
      <c r="L276" s="52"/>
      <c r="M276" s="59">
        <f>I276</f>
        <v>500000</v>
      </c>
      <c r="N276" s="52"/>
      <c r="O276" s="7">
        <f t="shared" si="78"/>
        <v>500000</v>
      </c>
      <c r="P276" s="5"/>
      <c r="Q276" s="5"/>
      <c r="R276" s="5"/>
      <c r="S276" s="5"/>
      <c r="T276" s="5"/>
      <c r="U276" s="5"/>
      <c r="V276" s="5"/>
      <c r="W276" s="5">
        <f t="shared" si="79"/>
        <v>0</v>
      </c>
      <c r="X276" s="6">
        <f t="shared" si="73"/>
        <v>0</v>
      </c>
      <c r="Z276" s="30">
        <f t="shared" si="76"/>
        <v>0</v>
      </c>
    </row>
    <row r="277" spans="6:26" ht="60" customHeight="1" x14ac:dyDescent="0.2">
      <c r="F277" s="50">
        <f t="shared" si="80"/>
        <v>40610</v>
      </c>
      <c r="G277" s="53" t="s">
        <v>306</v>
      </c>
      <c r="H277" s="59">
        <f>117000-I277</f>
        <v>67000</v>
      </c>
      <c r="I277" s="52">
        <v>50000</v>
      </c>
      <c r="J277" s="52"/>
      <c r="K277" s="52"/>
      <c r="L277" s="52"/>
      <c r="M277" s="59">
        <f>I277</f>
        <v>50000</v>
      </c>
      <c r="N277" s="52"/>
      <c r="O277" s="7">
        <f t="shared" si="78"/>
        <v>50000</v>
      </c>
      <c r="P277" s="5"/>
      <c r="Q277" s="5"/>
      <c r="R277" s="5"/>
      <c r="S277" s="5"/>
      <c r="T277" s="5"/>
      <c r="U277" s="5"/>
      <c r="V277" s="5"/>
      <c r="W277" s="5">
        <f t="shared" si="79"/>
        <v>0</v>
      </c>
      <c r="X277" s="6">
        <f t="shared" si="73"/>
        <v>0</v>
      </c>
      <c r="Z277" s="30">
        <f t="shared" si="76"/>
        <v>0</v>
      </c>
    </row>
    <row r="278" spans="6:26" ht="60" customHeight="1" x14ac:dyDescent="0.2">
      <c r="F278" s="50">
        <f t="shared" si="80"/>
        <v>40611</v>
      </c>
      <c r="G278" s="53" t="s">
        <v>155</v>
      </c>
      <c r="H278" s="52">
        <v>5000</v>
      </c>
      <c r="I278" s="52"/>
      <c r="J278" s="52"/>
      <c r="K278" s="52"/>
      <c r="L278" s="52"/>
      <c r="M278" s="59"/>
      <c r="N278" s="52"/>
      <c r="O278" s="7">
        <f t="shared" si="78"/>
        <v>0</v>
      </c>
      <c r="P278" s="5"/>
      <c r="Q278" s="5"/>
      <c r="R278" s="5"/>
      <c r="S278" s="5"/>
      <c r="T278" s="5"/>
      <c r="U278" s="5"/>
      <c r="V278" s="5"/>
      <c r="W278" s="5">
        <f t="shared" si="79"/>
        <v>0</v>
      </c>
      <c r="X278" s="6"/>
      <c r="Z278" s="30">
        <f t="shared" si="76"/>
        <v>0</v>
      </c>
    </row>
    <row r="279" spans="6:26" ht="60" customHeight="1" x14ac:dyDescent="0.2">
      <c r="F279" s="58"/>
      <c r="G279" s="56" t="s">
        <v>179</v>
      </c>
      <c r="H279" s="57">
        <f t="shared" ref="H279:W279" si="81">SUM(H268:H278)</f>
        <v>1003501</v>
      </c>
      <c r="I279" s="57">
        <f t="shared" si="81"/>
        <v>4310000</v>
      </c>
      <c r="J279" s="57">
        <f t="shared" si="81"/>
        <v>0</v>
      </c>
      <c r="K279" s="57">
        <f t="shared" si="81"/>
        <v>0</v>
      </c>
      <c r="L279" s="57">
        <f t="shared" si="81"/>
        <v>0</v>
      </c>
      <c r="M279" s="57">
        <f t="shared" si="81"/>
        <v>4310000</v>
      </c>
      <c r="N279" s="57">
        <f t="shared" si="81"/>
        <v>0</v>
      </c>
      <c r="O279" s="6">
        <f t="shared" si="81"/>
        <v>4310000</v>
      </c>
      <c r="P279" s="6">
        <f t="shared" si="81"/>
        <v>0</v>
      </c>
      <c r="Q279" s="6">
        <f t="shared" si="81"/>
        <v>0</v>
      </c>
      <c r="R279" s="6">
        <f t="shared" si="81"/>
        <v>0</v>
      </c>
      <c r="S279" s="6">
        <f t="shared" si="81"/>
        <v>0</v>
      </c>
      <c r="T279" s="6">
        <f t="shared" si="81"/>
        <v>0</v>
      </c>
      <c r="U279" s="6">
        <f t="shared" si="81"/>
        <v>0</v>
      </c>
      <c r="V279" s="6">
        <f t="shared" si="81"/>
        <v>0</v>
      </c>
      <c r="W279" s="6">
        <f t="shared" si="81"/>
        <v>0</v>
      </c>
      <c r="X279" s="6">
        <f t="shared" si="73"/>
        <v>0</v>
      </c>
      <c r="Z279" s="30">
        <f t="shared" si="76"/>
        <v>0</v>
      </c>
    </row>
    <row r="280" spans="6:26" ht="60" customHeight="1" x14ac:dyDescent="0.2">
      <c r="F280" s="50">
        <v>40700</v>
      </c>
      <c r="G280" s="51" t="s">
        <v>180</v>
      </c>
      <c r="H280" s="59"/>
      <c r="I280" s="52"/>
      <c r="J280" s="52"/>
      <c r="K280" s="52"/>
      <c r="L280" s="52"/>
      <c r="M280" s="59"/>
      <c r="N280" s="52"/>
      <c r="O280" s="5"/>
      <c r="P280" s="5"/>
      <c r="Q280" s="5"/>
      <c r="R280" s="5"/>
      <c r="S280" s="5"/>
      <c r="T280" s="5"/>
      <c r="U280" s="5"/>
      <c r="V280" s="5"/>
      <c r="W280" s="5"/>
      <c r="X280" s="6">
        <f t="shared" si="73"/>
        <v>0</v>
      </c>
      <c r="Z280" s="30">
        <f t="shared" si="76"/>
        <v>0</v>
      </c>
    </row>
    <row r="281" spans="6:26" ht="60" customHeight="1" x14ac:dyDescent="0.2">
      <c r="F281" s="50">
        <f t="shared" ref="F281:F317" si="82">+F280+1</f>
        <v>40701</v>
      </c>
      <c r="G281" s="53" t="s">
        <v>181</v>
      </c>
      <c r="H281" s="59"/>
      <c r="I281" s="59">
        <v>1080000</v>
      </c>
      <c r="J281" s="52"/>
      <c r="K281" s="52"/>
      <c r="L281" s="59"/>
      <c r="M281" s="59">
        <f t="shared" ref="M281:M286" si="83">I281</f>
        <v>1080000</v>
      </c>
      <c r="N281" s="59"/>
      <c r="O281" s="7">
        <f t="shared" ref="O281:O317" si="84">SUM(K281:N281)</f>
        <v>1080000</v>
      </c>
      <c r="P281" s="9"/>
      <c r="Q281" s="9"/>
      <c r="R281" s="9"/>
      <c r="S281" s="9"/>
      <c r="T281" s="9"/>
      <c r="U281" s="9"/>
      <c r="V281" s="9"/>
      <c r="W281" s="5">
        <f t="shared" ref="W281:W314" si="85">V281+U281+T281+S281</f>
        <v>0</v>
      </c>
      <c r="X281" s="6">
        <f t="shared" si="73"/>
        <v>0</v>
      </c>
      <c r="Z281" s="30">
        <f t="shared" si="76"/>
        <v>0</v>
      </c>
    </row>
    <row r="282" spans="6:26" ht="60" customHeight="1" x14ac:dyDescent="0.2">
      <c r="F282" s="50">
        <f t="shared" si="82"/>
        <v>40702</v>
      </c>
      <c r="G282" s="53" t="s">
        <v>383</v>
      </c>
      <c r="H282" s="59">
        <v>400000</v>
      </c>
      <c r="I282" s="59"/>
      <c r="J282" s="52"/>
      <c r="K282" s="52"/>
      <c r="L282" s="59"/>
      <c r="M282" s="59"/>
      <c r="N282" s="59"/>
      <c r="O282" s="7">
        <f t="shared" si="84"/>
        <v>0</v>
      </c>
      <c r="P282" s="9"/>
      <c r="Q282" s="9"/>
      <c r="R282" s="9"/>
      <c r="S282" s="9"/>
      <c r="T282" s="9"/>
      <c r="U282" s="9"/>
      <c r="V282" s="9"/>
      <c r="W282" s="5">
        <f t="shared" si="85"/>
        <v>0</v>
      </c>
      <c r="X282" s="6"/>
      <c r="Z282" s="30">
        <f t="shared" si="76"/>
        <v>0</v>
      </c>
    </row>
    <row r="283" spans="6:26" ht="60" customHeight="1" x14ac:dyDescent="0.2">
      <c r="F283" s="50">
        <f t="shared" si="82"/>
        <v>40703</v>
      </c>
      <c r="G283" s="53" t="s">
        <v>457</v>
      </c>
      <c r="H283" s="59">
        <f>9905200-I283</f>
        <v>2405200</v>
      </c>
      <c r="I283" s="59">
        <v>7500000</v>
      </c>
      <c r="J283" s="52"/>
      <c r="K283" s="52"/>
      <c r="L283" s="59">
        <v>5500000</v>
      </c>
      <c r="M283" s="59">
        <f>I283-L283</f>
        <v>2000000</v>
      </c>
      <c r="N283" s="59"/>
      <c r="O283" s="7">
        <f t="shared" si="84"/>
        <v>7500000</v>
      </c>
      <c r="P283" s="9"/>
      <c r="Q283" s="9"/>
      <c r="R283" s="9"/>
      <c r="S283" s="9"/>
      <c r="T283" s="9"/>
      <c r="U283" s="9"/>
      <c r="V283" s="9"/>
      <c r="W283" s="5">
        <f t="shared" si="85"/>
        <v>0</v>
      </c>
      <c r="X283" s="6">
        <f t="shared" si="73"/>
        <v>0</v>
      </c>
      <c r="Z283" s="30">
        <f t="shared" si="76"/>
        <v>0</v>
      </c>
    </row>
    <row r="284" spans="6:26" ht="60" customHeight="1" x14ac:dyDescent="0.2">
      <c r="F284" s="50">
        <f t="shared" si="82"/>
        <v>40704</v>
      </c>
      <c r="G284" s="53" t="s">
        <v>307</v>
      </c>
      <c r="H284" s="59">
        <f>1699145-I284</f>
        <v>899145</v>
      </c>
      <c r="I284" s="59">
        <v>800000</v>
      </c>
      <c r="J284" s="52"/>
      <c r="K284" s="52"/>
      <c r="L284" s="59"/>
      <c r="M284" s="59">
        <f t="shared" si="83"/>
        <v>800000</v>
      </c>
      <c r="N284" s="59"/>
      <c r="O284" s="7">
        <f t="shared" si="84"/>
        <v>800000</v>
      </c>
      <c r="P284" s="9"/>
      <c r="Q284" s="9"/>
      <c r="R284" s="9"/>
      <c r="S284" s="9"/>
      <c r="T284" s="9"/>
      <c r="U284" s="9"/>
      <c r="V284" s="9"/>
      <c r="W284" s="5">
        <f t="shared" si="85"/>
        <v>0</v>
      </c>
      <c r="X284" s="6">
        <f t="shared" si="73"/>
        <v>0</v>
      </c>
      <c r="Z284" s="30">
        <f t="shared" si="76"/>
        <v>0</v>
      </c>
    </row>
    <row r="285" spans="6:26" ht="60" customHeight="1" x14ac:dyDescent="0.2">
      <c r="F285" s="50">
        <f t="shared" si="82"/>
        <v>40705</v>
      </c>
      <c r="G285" s="53" t="s">
        <v>389</v>
      </c>
      <c r="H285" s="59">
        <f>540000-I285</f>
        <v>90000</v>
      </c>
      <c r="I285" s="59">
        <v>450000</v>
      </c>
      <c r="J285" s="52"/>
      <c r="K285" s="52"/>
      <c r="L285" s="59"/>
      <c r="M285" s="59">
        <f t="shared" si="83"/>
        <v>450000</v>
      </c>
      <c r="N285" s="59"/>
      <c r="O285" s="7">
        <f t="shared" si="84"/>
        <v>450000</v>
      </c>
      <c r="P285" s="9"/>
      <c r="Q285" s="9"/>
      <c r="R285" s="9"/>
      <c r="S285" s="9"/>
      <c r="T285" s="9"/>
      <c r="U285" s="9"/>
      <c r="V285" s="9"/>
      <c r="W285" s="5">
        <f t="shared" si="85"/>
        <v>0</v>
      </c>
      <c r="X285" s="6">
        <f t="shared" si="73"/>
        <v>0</v>
      </c>
      <c r="Z285" s="30">
        <f t="shared" si="76"/>
        <v>0</v>
      </c>
    </row>
    <row r="286" spans="6:26" ht="60" customHeight="1" x14ac:dyDescent="0.2">
      <c r="F286" s="50">
        <f t="shared" si="82"/>
        <v>40706</v>
      </c>
      <c r="G286" s="53" t="s">
        <v>182</v>
      </c>
      <c r="H286" s="59">
        <f>3000000-I286</f>
        <v>1000000</v>
      </c>
      <c r="I286" s="59">
        <v>2000000</v>
      </c>
      <c r="J286" s="52"/>
      <c r="K286" s="52"/>
      <c r="L286" s="59"/>
      <c r="M286" s="59">
        <f t="shared" si="83"/>
        <v>2000000</v>
      </c>
      <c r="N286" s="59"/>
      <c r="O286" s="7">
        <f t="shared" si="84"/>
        <v>2000000</v>
      </c>
      <c r="P286" s="9"/>
      <c r="Q286" s="9"/>
      <c r="R286" s="9"/>
      <c r="S286" s="9"/>
      <c r="T286" s="9"/>
      <c r="U286" s="9"/>
      <c r="V286" s="9"/>
      <c r="W286" s="5">
        <f t="shared" si="85"/>
        <v>0</v>
      </c>
      <c r="X286" s="6">
        <f t="shared" si="73"/>
        <v>0</v>
      </c>
      <c r="Z286" s="30">
        <f t="shared" si="76"/>
        <v>0</v>
      </c>
    </row>
    <row r="287" spans="6:26" ht="60" customHeight="1" x14ac:dyDescent="0.2">
      <c r="F287" s="50">
        <f t="shared" si="82"/>
        <v>40707</v>
      </c>
      <c r="G287" s="53" t="s">
        <v>183</v>
      </c>
      <c r="H287" s="59">
        <f>1456000-I287</f>
        <v>956000</v>
      </c>
      <c r="I287" s="59">
        <v>500000</v>
      </c>
      <c r="J287" s="52"/>
      <c r="K287" s="52"/>
      <c r="L287" s="59">
        <f>I287/2</f>
        <v>250000</v>
      </c>
      <c r="M287" s="59">
        <f>I287-L287</f>
        <v>250000</v>
      </c>
      <c r="N287" s="59"/>
      <c r="O287" s="7">
        <f t="shared" si="84"/>
        <v>500000</v>
      </c>
      <c r="P287" s="9"/>
      <c r="Q287" s="9"/>
      <c r="R287" s="9"/>
      <c r="S287" s="9"/>
      <c r="T287" s="9"/>
      <c r="U287" s="9"/>
      <c r="V287" s="9"/>
      <c r="W287" s="5">
        <f t="shared" si="85"/>
        <v>0</v>
      </c>
      <c r="X287" s="6">
        <f t="shared" si="73"/>
        <v>0</v>
      </c>
      <c r="Z287" s="30">
        <f t="shared" si="76"/>
        <v>0</v>
      </c>
    </row>
    <row r="288" spans="6:26" ht="60" customHeight="1" x14ac:dyDescent="0.2">
      <c r="F288" s="50">
        <f t="shared" si="82"/>
        <v>40708</v>
      </c>
      <c r="G288" s="53" t="s">
        <v>451</v>
      </c>
      <c r="H288" s="59">
        <v>222000</v>
      </c>
      <c r="I288" s="59"/>
      <c r="J288" s="52"/>
      <c r="K288" s="52"/>
      <c r="L288" s="59"/>
      <c r="M288" s="59"/>
      <c r="N288" s="59"/>
      <c r="O288" s="7">
        <f t="shared" si="84"/>
        <v>0</v>
      </c>
      <c r="P288" s="9"/>
      <c r="Q288" s="9"/>
      <c r="R288" s="9"/>
      <c r="S288" s="9"/>
      <c r="T288" s="9"/>
      <c r="U288" s="9"/>
      <c r="V288" s="9"/>
      <c r="W288" s="5"/>
      <c r="X288" s="6"/>
      <c r="Z288" s="30">
        <f t="shared" si="76"/>
        <v>0</v>
      </c>
    </row>
    <row r="289" spans="6:26" ht="60" customHeight="1" x14ac:dyDescent="0.2">
      <c r="F289" s="50">
        <f t="shared" si="82"/>
        <v>40709</v>
      </c>
      <c r="G289" s="53" t="s">
        <v>308</v>
      </c>
      <c r="H289" s="59">
        <f>170000-I289</f>
        <v>120000</v>
      </c>
      <c r="I289" s="59">
        <v>50000</v>
      </c>
      <c r="J289" s="52"/>
      <c r="K289" s="52"/>
      <c r="L289" s="59"/>
      <c r="M289" s="59">
        <f>I289</f>
        <v>50000</v>
      </c>
      <c r="N289" s="59"/>
      <c r="O289" s="7">
        <f t="shared" si="84"/>
        <v>50000</v>
      </c>
      <c r="P289" s="9"/>
      <c r="Q289" s="9"/>
      <c r="R289" s="9"/>
      <c r="S289" s="9"/>
      <c r="T289" s="9"/>
      <c r="U289" s="9"/>
      <c r="V289" s="9"/>
      <c r="W289" s="5">
        <f t="shared" si="85"/>
        <v>0</v>
      </c>
      <c r="X289" s="6">
        <f t="shared" si="73"/>
        <v>0</v>
      </c>
      <c r="Z289" s="30">
        <f t="shared" si="76"/>
        <v>0</v>
      </c>
    </row>
    <row r="290" spans="6:26" ht="60" customHeight="1" x14ac:dyDescent="0.2">
      <c r="F290" s="50">
        <f t="shared" si="82"/>
        <v>40710</v>
      </c>
      <c r="G290" s="53" t="s">
        <v>184</v>
      </c>
      <c r="H290" s="59"/>
      <c r="I290" s="59">
        <v>20000</v>
      </c>
      <c r="J290" s="52"/>
      <c r="K290" s="52"/>
      <c r="L290" s="59"/>
      <c r="M290" s="59">
        <f>I290</f>
        <v>20000</v>
      </c>
      <c r="N290" s="59"/>
      <c r="O290" s="7">
        <f t="shared" si="84"/>
        <v>20000</v>
      </c>
      <c r="P290" s="9"/>
      <c r="Q290" s="9"/>
      <c r="R290" s="9"/>
      <c r="S290" s="9"/>
      <c r="T290" s="9"/>
      <c r="U290" s="9"/>
      <c r="V290" s="9"/>
      <c r="W290" s="5">
        <f t="shared" si="85"/>
        <v>0</v>
      </c>
      <c r="X290" s="6">
        <f t="shared" si="73"/>
        <v>0</v>
      </c>
      <c r="Z290" s="30">
        <f t="shared" si="76"/>
        <v>0</v>
      </c>
    </row>
    <row r="291" spans="6:26" ht="60" customHeight="1" x14ac:dyDescent="0.2">
      <c r="F291" s="50">
        <f t="shared" si="82"/>
        <v>40711</v>
      </c>
      <c r="G291" s="53" t="s">
        <v>185</v>
      </c>
      <c r="H291" s="59"/>
      <c r="I291" s="59">
        <v>700000</v>
      </c>
      <c r="J291" s="52"/>
      <c r="K291" s="52"/>
      <c r="L291" s="59"/>
      <c r="M291" s="59">
        <f>I291</f>
        <v>700000</v>
      </c>
      <c r="N291" s="59"/>
      <c r="O291" s="7">
        <f t="shared" si="84"/>
        <v>700000</v>
      </c>
      <c r="P291" s="9"/>
      <c r="Q291" s="9"/>
      <c r="R291" s="9"/>
      <c r="S291" s="9"/>
      <c r="T291" s="9"/>
      <c r="U291" s="9"/>
      <c r="V291" s="9"/>
      <c r="W291" s="5">
        <f t="shared" si="85"/>
        <v>0</v>
      </c>
      <c r="X291" s="6">
        <f t="shared" si="73"/>
        <v>0</v>
      </c>
      <c r="Z291" s="30">
        <f t="shared" si="76"/>
        <v>0</v>
      </c>
    </row>
    <row r="292" spans="6:26" ht="60" customHeight="1" x14ac:dyDescent="0.2">
      <c r="F292" s="50">
        <f t="shared" si="82"/>
        <v>40712</v>
      </c>
      <c r="G292" s="53" t="s">
        <v>186</v>
      </c>
      <c r="H292" s="59">
        <f>380000-I292</f>
        <v>280000</v>
      </c>
      <c r="I292" s="59">
        <v>100000</v>
      </c>
      <c r="J292" s="52"/>
      <c r="K292" s="52"/>
      <c r="L292" s="59"/>
      <c r="M292" s="59">
        <f>I292</f>
        <v>100000</v>
      </c>
      <c r="N292" s="59"/>
      <c r="O292" s="7">
        <f t="shared" si="84"/>
        <v>100000</v>
      </c>
      <c r="P292" s="9"/>
      <c r="Q292" s="9"/>
      <c r="R292" s="9"/>
      <c r="S292" s="9"/>
      <c r="T292" s="9"/>
      <c r="U292" s="9"/>
      <c r="V292" s="9"/>
      <c r="W292" s="5">
        <f t="shared" si="85"/>
        <v>0</v>
      </c>
      <c r="X292" s="6">
        <f t="shared" si="73"/>
        <v>0</v>
      </c>
      <c r="Z292" s="30">
        <f t="shared" si="76"/>
        <v>0</v>
      </c>
    </row>
    <row r="293" spans="6:26" ht="60" customHeight="1" x14ac:dyDescent="0.2">
      <c r="F293" s="50">
        <f t="shared" si="82"/>
        <v>40713</v>
      </c>
      <c r="G293" s="53" t="s">
        <v>187</v>
      </c>
      <c r="H293" s="59"/>
      <c r="I293" s="59">
        <v>500000</v>
      </c>
      <c r="J293" s="52"/>
      <c r="K293" s="52"/>
      <c r="L293" s="59"/>
      <c r="M293" s="59">
        <f>I293</f>
        <v>500000</v>
      </c>
      <c r="N293" s="59"/>
      <c r="O293" s="7">
        <f t="shared" si="84"/>
        <v>500000</v>
      </c>
      <c r="P293" s="9"/>
      <c r="Q293" s="9"/>
      <c r="R293" s="9"/>
      <c r="S293" s="9"/>
      <c r="T293" s="9"/>
      <c r="U293" s="9"/>
      <c r="V293" s="9"/>
      <c r="W293" s="5">
        <f t="shared" si="85"/>
        <v>0</v>
      </c>
      <c r="X293" s="6">
        <f t="shared" si="73"/>
        <v>0</v>
      </c>
      <c r="Z293" s="30">
        <f t="shared" si="76"/>
        <v>0</v>
      </c>
    </row>
    <row r="294" spans="6:26" ht="60" customHeight="1" x14ac:dyDescent="0.2">
      <c r="F294" s="50">
        <f t="shared" si="82"/>
        <v>40714</v>
      </c>
      <c r="G294" s="53" t="s">
        <v>391</v>
      </c>
      <c r="H294" s="59">
        <v>500000</v>
      </c>
      <c r="I294" s="59"/>
      <c r="J294" s="52"/>
      <c r="K294" s="52"/>
      <c r="L294" s="59"/>
      <c r="M294" s="59"/>
      <c r="N294" s="59"/>
      <c r="O294" s="7">
        <f t="shared" si="84"/>
        <v>0</v>
      </c>
      <c r="P294" s="9"/>
      <c r="Q294" s="9"/>
      <c r="R294" s="9"/>
      <c r="S294" s="9"/>
      <c r="T294" s="9"/>
      <c r="U294" s="9"/>
      <c r="V294" s="9"/>
      <c r="W294" s="5"/>
      <c r="X294" s="6"/>
      <c r="Z294" s="30">
        <f t="shared" si="76"/>
        <v>0</v>
      </c>
    </row>
    <row r="295" spans="6:26" ht="60" customHeight="1" x14ac:dyDescent="0.2">
      <c r="F295" s="50">
        <f t="shared" si="82"/>
        <v>40715</v>
      </c>
      <c r="G295" s="53" t="s">
        <v>188</v>
      </c>
      <c r="H295" s="59"/>
      <c r="I295" s="59">
        <v>400000</v>
      </c>
      <c r="J295" s="52"/>
      <c r="K295" s="52"/>
      <c r="L295" s="59">
        <f>I295/2</f>
        <v>200000</v>
      </c>
      <c r="M295" s="59">
        <f>I295-L295</f>
        <v>200000</v>
      </c>
      <c r="N295" s="59"/>
      <c r="O295" s="7">
        <f t="shared" si="84"/>
        <v>400000</v>
      </c>
      <c r="P295" s="9"/>
      <c r="Q295" s="9"/>
      <c r="R295" s="9"/>
      <c r="S295" s="9"/>
      <c r="T295" s="9"/>
      <c r="U295" s="9"/>
      <c r="V295" s="9"/>
      <c r="W295" s="5">
        <f t="shared" si="85"/>
        <v>0</v>
      </c>
      <c r="X295" s="6">
        <f t="shared" si="73"/>
        <v>0</v>
      </c>
      <c r="Z295" s="30">
        <f t="shared" si="76"/>
        <v>0</v>
      </c>
    </row>
    <row r="296" spans="6:26" ht="60" customHeight="1" x14ac:dyDescent="0.2">
      <c r="F296" s="50">
        <f t="shared" si="82"/>
        <v>40716</v>
      </c>
      <c r="G296" s="53" t="s">
        <v>189</v>
      </c>
      <c r="H296" s="59">
        <f>1250000-I296</f>
        <v>250000</v>
      </c>
      <c r="I296" s="59">
        <v>1000000</v>
      </c>
      <c r="J296" s="52"/>
      <c r="K296" s="52"/>
      <c r="L296" s="59">
        <f>I296/2</f>
        <v>500000</v>
      </c>
      <c r="M296" s="59">
        <f>I296-L296</f>
        <v>500000</v>
      </c>
      <c r="N296" s="59"/>
      <c r="O296" s="7">
        <f t="shared" si="84"/>
        <v>1000000</v>
      </c>
      <c r="P296" s="9"/>
      <c r="Q296" s="9"/>
      <c r="R296" s="9"/>
      <c r="S296" s="9"/>
      <c r="T296" s="9"/>
      <c r="U296" s="9"/>
      <c r="V296" s="9"/>
      <c r="W296" s="5">
        <f t="shared" si="85"/>
        <v>0</v>
      </c>
      <c r="X296" s="6">
        <f t="shared" si="73"/>
        <v>0</v>
      </c>
      <c r="Z296" s="30">
        <f t="shared" si="76"/>
        <v>0</v>
      </c>
    </row>
    <row r="297" spans="6:26" ht="60" customHeight="1" x14ac:dyDescent="0.2">
      <c r="F297" s="50">
        <f t="shared" si="82"/>
        <v>40717</v>
      </c>
      <c r="G297" s="53" t="s">
        <v>392</v>
      </c>
      <c r="H297" s="59">
        <v>1540000</v>
      </c>
      <c r="I297" s="59"/>
      <c r="J297" s="52"/>
      <c r="K297" s="52"/>
      <c r="L297" s="59"/>
      <c r="M297" s="59"/>
      <c r="N297" s="59"/>
      <c r="O297" s="7">
        <f t="shared" si="84"/>
        <v>0</v>
      </c>
      <c r="P297" s="9"/>
      <c r="Q297" s="9"/>
      <c r="R297" s="9"/>
      <c r="S297" s="9"/>
      <c r="T297" s="9"/>
      <c r="U297" s="9"/>
      <c r="V297" s="9"/>
      <c r="W297" s="5"/>
      <c r="X297" s="6"/>
      <c r="Z297" s="30">
        <f t="shared" si="76"/>
        <v>0</v>
      </c>
    </row>
    <row r="298" spans="6:26" ht="60" customHeight="1" x14ac:dyDescent="0.2">
      <c r="F298" s="50">
        <f t="shared" si="82"/>
        <v>40718</v>
      </c>
      <c r="G298" s="53" t="s">
        <v>190</v>
      </c>
      <c r="H298" s="59">
        <f>4500000-I298</f>
        <v>2000000</v>
      </c>
      <c r="I298" s="59">
        <v>2500000</v>
      </c>
      <c r="J298" s="52"/>
      <c r="K298" s="52"/>
      <c r="L298" s="59">
        <f>I298</f>
        <v>2500000</v>
      </c>
      <c r="M298" s="59"/>
      <c r="N298" s="59"/>
      <c r="O298" s="7">
        <f t="shared" si="84"/>
        <v>2500000</v>
      </c>
      <c r="P298" s="9"/>
      <c r="Q298" s="9"/>
      <c r="R298" s="9"/>
      <c r="S298" s="9"/>
      <c r="T298" s="9"/>
      <c r="U298" s="9"/>
      <c r="V298" s="9"/>
      <c r="W298" s="5">
        <f t="shared" si="85"/>
        <v>0</v>
      </c>
      <c r="X298" s="6">
        <f t="shared" si="73"/>
        <v>0</v>
      </c>
      <c r="Z298" s="30">
        <f t="shared" si="76"/>
        <v>0</v>
      </c>
    </row>
    <row r="299" spans="6:26" ht="60" customHeight="1" x14ac:dyDescent="0.2">
      <c r="F299" s="50">
        <f t="shared" si="82"/>
        <v>40719</v>
      </c>
      <c r="G299" s="53" t="s">
        <v>191</v>
      </c>
      <c r="H299" s="59"/>
      <c r="I299" s="59">
        <v>100000</v>
      </c>
      <c r="J299" s="52"/>
      <c r="K299" s="52"/>
      <c r="L299" s="59"/>
      <c r="M299" s="59">
        <f>I299</f>
        <v>100000</v>
      </c>
      <c r="N299" s="59"/>
      <c r="O299" s="7">
        <f t="shared" si="84"/>
        <v>100000</v>
      </c>
      <c r="P299" s="9"/>
      <c r="Q299" s="9"/>
      <c r="R299" s="9"/>
      <c r="S299" s="9"/>
      <c r="T299" s="9"/>
      <c r="U299" s="9"/>
      <c r="V299" s="9"/>
      <c r="W299" s="5">
        <f t="shared" si="85"/>
        <v>0</v>
      </c>
      <c r="X299" s="6">
        <f t="shared" si="73"/>
        <v>0</v>
      </c>
      <c r="Z299" s="30">
        <f t="shared" si="76"/>
        <v>0</v>
      </c>
    </row>
    <row r="300" spans="6:26" ht="60" customHeight="1" x14ac:dyDescent="0.2">
      <c r="F300" s="50">
        <f t="shared" si="82"/>
        <v>40720</v>
      </c>
      <c r="G300" s="53" t="s">
        <v>323</v>
      </c>
      <c r="H300" s="59">
        <f>4781700-I300</f>
        <v>1981700</v>
      </c>
      <c r="I300" s="59">
        <v>2800000</v>
      </c>
      <c r="J300" s="52"/>
      <c r="K300" s="52"/>
      <c r="L300" s="59">
        <f>I300/2</f>
        <v>1400000</v>
      </c>
      <c r="M300" s="59">
        <f>I300-L300</f>
        <v>1400000</v>
      </c>
      <c r="N300" s="59"/>
      <c r="O300" s="7">
        <f t="shared" si="84"/>
        <v>2800000</v>
      </c>
      <c r="P300" s="9"/>
      <c r="Q300" s="9"/>
      <c r="R300" s="9"/>
      <c r="S300" s="9"/>
      <c r="T300" s="9"/>
      <c r="U300" s="9"/>
      <c r="V300" s="9"/>
      <c r="W300" s="5">
        <f t="shared" si="85"/>
        <v>0</v>
      </c>
      <c r="X300" s="6">
        <f t="shared" si="73"/>
        <v>0</v>
      </c>
      <c r="Z300" s="30">
        <f t="shared" si="76"/>
        <v>0</v>
      </c>
    </row>
    <row r="301" spans="6:26" ht="60" customHeight="1" x14ac:dyDescent="0.2">
      <c r="F301" s="50">
        <f t="shared" si="82"/>
        <v>40721</v>
      </c>
      <c r="G301" s="53" t="s">
        <v>324</v>
      </c>
      <c r="H301" s="59">
        <f>300000-I301</f>
        <v>100000</v>
      </c>
      <c r="I301" s="59">
        <v>200000</v>
      </c>
      <c r="J301" s="52"/>
      <c r="K301" s="52"/>
      <c r="L301" s="59"/>
      <c r="M301" s="59">
        <f>I301</f>
        <v>200000</v>
      </c>
      <c r="N301" s="59"/>
      <c r="O301" s="7">
        <f t="shared" si="84"/>
        <v>200000</v>
      </c>
      <c r="P301" s="9"/>
      <c r="Q301" s="9"/>
      <c r="R301" s="9"/>
      <c r="S301" s="9"/>
      <c r="T301" s="9"/>
      <c r="U301" s="9"/>
      <c r="V301" s="9"/>
      <c r="W301" s="5">
        <f t="shared" si="85"/>
        <v>0</v>
      </c>
      <c r="X301" s="6">
        <f t="shared" si="73"/>
        <v>0</v>
      </c>
      <c r="Z301" s="30">
        <f t="shared" si="76"/>
        <v>0</v>
      </c>
    </row>
    <row r="302" spans="6:26" ht="60" customHeight="1" x14ac:dyDescent="0.2">
      <c r="F302" s="50">
        <f t="shared" si="82"/>
        <v>40722</v>
      </c>
      <c r="G302" s="53" t="s">
        <v>393</v>
      </c>
      <c r="H302" s="59">
        <f>1000000-I302</f>
        <v>100000</v>
      </c>
      <c r="I302" s="59">
        <v>900000</v>
      </c>
      <c r="J302" s="52"/>
      <c r="K302" s="52"/>
      <c r="L302" s="59"/>
      <c r="M302" s="59">
        <f>I302</f>
        <v>900000</v>
      </c>
      <c r="N302" s="59"/>
      <c r="O302" s="7">
        <f t="shared" si="84"/>
        <v>900000</v>
      </c>
      <c r="P302" s="9"/>
      <c r="Q302" s="9"/>
      <c r="R302" s="9"/>
      <c r="S302" s="9"/>
      <c r="T302" s="9"/>
      <c r="U302" s="9"/>
      <c r="V302" s="9"/>
      <c r="W302" s="5">
        <f t="shared" si="85"/>
        <v>0</v>
      </c>
      <c r="X302" s="6">
        <f t="shared" ref="X302:X361" si="86">Q302-R302-W302</f>
        <v>0</v>
      </c>
      <c r="Z302" s="30">
        <f t="shared" si="76"/>
        <v>0</v>
      </c>
    </row>
    <row r="303" spans="6:26" ht="60" customHeight="1" x14ac:dyDescent="0.2">
      <c r="F303" s="50">
        <f t="shared" si="82"/>
        <v>40723</v>
      </c>
      <c r="G303" s="53" t="s">
        <v>192</v>
      </c>
      <c r="H303" s="59"/>
      <c r="I303" s="59">
        <v>400000</v>
      </c>
      <c r="J303" s="52">
        <f>I303/2</f>
        <v>200000</v>
      </c>
      <c r="K303" s="52"/>
      <c r="L303" s="59">
        <f>I303-J303</f>
        <v>200000</v>
      </c>
      <c r="M303" s="59"/>
      <c r="N303" s="59"/>
      <c r="O303" s="7">
        <f t="shared" si="84"/>
        <v>200000</v>
      </c>
      <c r="P303" s="9"/>
      <c r="Q303" s="9"/>
      <c r="R303" s="9"/>
      <c r="S303" s="9"/>
      <c r="T303" s="9"/>
      <c r="U303" s="9"/>
      <c r="V303" s="9"/>
      <c r="W303" s="5">
        <f t="shared" si="85"/>
        <v>0</v>
      </c>
      <c r="X303" s="6">
        <f t="shared" si="86"/>
        <v>0</v>
      </c>
      <c r="Z303" s="30">
        <f t="shared" si="76"/>
        <v>0</v>
      </c>
    </row>
    <row r="304" spans="6:26" ht="60" customHeight="1" x14ac:dyDescent="0.2">
      <c r="F304" s="50">
        <f t="shared" si="82"/>
        <v>40724</v>
      </c>
      <c r="G304" s="53" t="s">
        <v>384</v>
      </c>
      <c r="H304" s="59">
        <v>2600000</v>
      </c>
      <c r="I304" s="59"/>
      <c r="J304" s="52"/>
      <c r="K304" s="52"/>
      <c r="L304" s="59"/>
      <c r="M304" s="59"/>
      <c r="N304" s="59"/>
      <c r="O304" s="7">
        <f t="shared" si="84"/>
        <v>0</v>
      </c>
      <c r="P304" s="9"/>
      <c r="Q304" s="9"/>
      <c r="R304" s="9"/>
      <c r="S304" s="9"/>
      <c r="T304" s="9"/>
      <c r="U304" s="9"/>
      <c r="V304" s="9"/>
      <c r="W304" s="5"/>
      <c r="X304" s="6"/>
      <c r="Z304" s="30">
        <f t="shared" si="76"/>
        <v>0</v>
      </c>
    </row>
    <row r="305" spans="6:26" ht="60" customHeight="1" x14ac:dyDescent="0.2">
      <c r="F305" s="50">
        <f t="shared" si="82"/>
        <v>40725</v>
      </c>
      <c r="G305" s="53" t="s">
        <v>385</v>
      </c>
      <c r="H305" s="59">
        <v>2050000</v>
      </c>
      <c r="I305" s="59"/>
      <c r="J305" s="52"/>
      <c r="K305" s="52"/>
      <c r="L305" s="59"/>
      <c r="M305" s="59"/>
      <c r="N305" s="59"/>
      <c r="O305" s="7">
        <f t="shared" si="84"/>
        <v>0</v>
      </c>
      <c r="P305" s="9"/>
      <c r="Q305" s="9"/>
      <c r="R305" s="9"/>
      <c r="S305" s="9"/>
      <c r="T305" s="9"/>
      <c r="U305" s="9"/>
      <c r="V305" s="9"/>
      <c r="W305" s="5"/>
      <c r="X305" s="6"/>
      <c r="Z305" s="30">
        <f t="shared" si="76"/>
        <v>0</v>
      </c>
    </row>
    <row r="306" spans="6:26" ht="60" customHeight="1" x14ac:dyDescent="0.2">
      <c r="F306" s="50">
        <f t="shared" si="82"/>
        <v>40726</v>
      </c>
      <c r="G306" s="53" t="s">
        <v>386</v>
      </c>
      <c r="H306" s="59">
        <v>1900000</v>
      </c>
      <c r="I306" s="59"/>
      <c r="J306" s="52"/>
      <c r="K306" s="52"/>
      <c r="L306" s="59"/>
      <c r="M306" s="59"/>
      <c r="N306" s="59"/>
      <c r="O306" s="7">
        <f t="shared" si="84"/>
        <v>0</v>
      </c>
      <c r="P306" s="9"/>
      <c r="Q306" s="9"/>
      <c r="R306" s="9"/>
      <c r="S306" s="9"/>
      <c r="T306" s="9"/>
      <c r="U306" s="9"/>
      <c r="V306" s="9"/>
      <c r="W306" s="5"/>
      <c r="X306" s="6"/>
      <c r="Z306" s="30">
        <f t="shared" si="76"/>
        <v>0</v>
      </c>
    </row>
    <row r="307" spans="6:26" ht="60" customHeight="1" x14ac:dyDescent="0.2">
      <c r="F307" s="50">
        <f t="shared" si="82"/>
        <v>40727</v>
      </c>
      <c r="G307" s="53" t="s">
        <v>387</v>
      </c>
      <c r="H307" s="59">
        <v>1000000</v>
      </c>
      <c r="I307" s="59"/>
      <c r="J307" s="52"/>
      <c r="K307" s="52"/>
      <c r="L307" s="59"/>
      <c r="M307" s="59"/>
      <c r="N307" s="59"/>
      <c r="O307" s="7">
        <f t="shared" si="84"/>
        <v>0</v>
      </c>
      <c r="P307" s="9"/>
      <c r="Q307" s="9"/>
      <c r="R307" s="9"/>
      <c r="S307" s="9"/>
      <c r="T307" s="9"/>
      <c r="U307" s="9"/>
      <c r="V307" s="9"/>
      <c r="W307" s="5"/>
      <c r="X307" s="6"/>
      <c r="Z307" s="30">
        <f t="shared" si="76"/>
        <v>0</v>
      </c>
    </row>
    <row r="308" spans="6:26" ht="60" customHeight="1" x14ac:dyDescent="0.2">
      <c r="F308" s="50">
        <f t="shared" si="82"/>
        <v>40728</v>
      </c>
      <c r="G308" s="53" t="s">
        <v>450</v>
      </c>
      <c r="H308" s="59">
        <v>1500000</v>
      </c>
      <c r="I308" s="59"/>
      <c r="J308" s="52"/>
      <c r="K308" s="52"/>
      <c r="L308" s="59"/>
      <c r="M308" s="59"/>
      <c r="N308" s="59"/>
      <c r="O308" s="7">
        <f t="shared" si="84"/>
        <v>0</v>
      </c>
      <c r="P308" s="9"/>
      <c r="Q308" s="9"/>
      <c r="R308" s="9"/>
      <c r="S308" s="9"/>
      <c r="T308" s="9"/>
      <c r="U308" s="9"/>
      <c r="V308" s="9"/>
      <c r="W308" s="5"/>
      <c r="X308" s="6"/>
      <c r="Z308" s="30">
        <f t="shared" si="76"/>
        <v>0</v>
      </c>
    </row>
    <row r="309" spans="6:26" ht="60" customHeight="1" x14ac:dyDescent="0.2">
      <c r="F309" s="50">
        <f t="shared" si="82"/>
        <v>40729</v>
      </c>
      <c r="G309" s="53" t="s">
        <v>455</v>
      </c>
      <c r="H309" s="59">
        <v>1500000</v>
      </c>
      <c r="I309" s="59"/>
      <c r="J309" s="52"/>
      <c r="K309" s="52"/>
      <c r="L309" s="59"/>
      <c r="M309" s="59"/>
      <c r="N309" s="59"/>
      <c r="O309" s="7">
        <f>SUM(K309:N309)</f>
        <v>0</v>
      </c>
      <c r="P309" s="9"/>
      <c r="Q309" s="9"/>
      <c r="R309" s="9"/>
      <c r="S309" s="9"/>
      <c r="T309" s="9"/>
      <c r="U309" s="9"/>
      <c r="V309" s="9"/>
      <c r="W309" s="5"/>
      <c r="X309" s="6"/>
      <c r="Z309" s="30">
        <f t="shared" si="76"/>
        <v>0</v>
      </c>
    </row>
    <row r="310" spans="6:26" ht="60" customHeight="1" x14ac:dyDescent="0.2">
      <c r="F310" s="50">
        <f t="shared" si="82"/>
        <v>40730</v>
      </c>
      <c r="G310" s="53" t="s">
        <v>388</v>
      </c>
      <c r="H310" s="59">
        <v>2500000</v>
      </c>
      <c r="I310" s="59"/>
      <c r="J310" s="52"/>
      <c r="K310" s="52"/>
      <c r="L310" s="59"/>
      <c r="M310" s="59"/>
      <c r="N310" s="59"/>
      <c r="O310" s="7">
        <f t="shared" si="84"/>
        <v>0</v>
      </c>
      <c r="P310" s="9"/>
      <c r="Q310" s="9"/>
      <c r="R310" s="9"/>
      <c r="S310" s="9"/>
      <c r="T310" s="9"/>
      <c r="U310" s="9"/>
      <c r="V310" s="9"/>
      <c r="W310" s="5"/>
      <c r="X310" s="6"/>
      <c r="Z310" s="30">
        <f t="shared" si="76"/>
        <v>0</v>
      </c>
    </row>
    <row r="311" spans="6:26" ht="60" customHeight="1" x14ac:dyDescent="0.2">
      <c r="F311" s="50">
        <f t="shared" si="82"/>
        <v>40731</v>
      </c>
      <c r="G311" s="53" t="s">
        <v>390</v>
      </c>
      <c r="H311" s="59">
        <v>300000</v>
      </c>
      <c r="I311" s="59"/>
      <c r="J311" s="52"/>
      <c r="K311" s="52"/>
      <c r="L311" s="59"/>
      <c r="M311" s="59"/>
      <c r="N311" s="59"/>
      <c r="O311" s="7">
        <f t="shared" si="84"/>
        <v>0</v>
      </c>
      <c r="P311" s="9"/>
      <c r="Q311" s="9"/>
      <c r="R311" s="9"/>
      <c r="S311" s="9"/>
      <c r="T311" s="9"/>
      <c r="U311" s="9"/>
      <c r="V311" s="9"/>
      <c r="W311" s="5"/>
      <c r="X311" s="6"/>
      <c r="Z311" s="30">
        <f t="shared" si="76"/>
        <v>0</v>
      </c>
    </row>
    <row r="312" spans="6:26" ht="60" customHeight="1" x14ac:dyDescent="0.2">
      <c r="F312" s="50">
        <f t="shared" si="82"/>
        <v>40732</v>
      </c>
      <c r="G312" s="53" t="s">
        <v>394</v>
      </c>
      <c r="H312" s="59">
        <v>420000</v>
      </c>
      <c r="I312" s="59"/>
      <c r="J312" s="52"/>
      <c r="K312" s="52"/>
      <c r="L312" s="59"/>
      <c r="M312" s="59"/>
      <c r="N312" s="59"/>
      <c r="O312" s="7">
        <f t="shared" si="84"/>
        <v>0</v>
      </c>
      <c r="P312" s="9"/>
      <c r="Q312" s="9"/>
      <c r="R312" s="9"/>
      <c r="S312" s="9"/>
      <c r="T312" s="9"/>
      <c r="U312" s="9"/>
      <c r="V312" s="9"/>
      <c r="W312" s="5"/>
      <c r="X312" s="6"/>
      <c r="Z312" s="30">
        <f t="shared" si="76"/>
        <v>0</v>
      </c>
    </row>
    <row r="313" spans="6:26" ht="60" customHeight="1" x14ac:dyDescent="0.2">
      <c r="F313" s="50">
        <f t="shared" si="82"/>
        <v>40733</v>
      </c>
      <c r="G313" s="53" t="s">
        <v>395</v>
      </c>
      <c r="H313" s="59">
        <v>250000</v>
      </c>
      <c r="I313" s="59"/>
      <c r="J313" s="52"/>
      <c r="K313" s="52"/>
      <c r="L313" s="59"/>
      <c r="M313" s="59"/>
      <c r="N313" s="59"/>
      <c r="O313" s="7">
        <f t="shared" si="84"/>
        <v>0</v>
      </c>
      <c r="P313" s="9"/>
      <c r="Q313" s="9"/>
      <c r="R313" s="9"/>
      <c r="S313" s="9"/>
      <c r="T313" s="9"/>
      <c r="U313" s="9"/>
      <c r="V313" s="9"/>
      <c r="W313" s="5"/>
      <c r="X313" s="6"/>
      <c r="Z313" s="30">
        <f t="shared" si="76"/>
        <v>0</v>
      </c>
    </row>
    <row r="314" spans="6:26" ht="60" customHeight="1" x14ac:dyDescent="0.2">
      <c r="F314" s="50">
        <f t="shared" si="82"/>
        <v>40734</v>
      </c>
      <c r="G314" s="53" t="s">
        <v>309</v>
      </c>
      <c r="H314" s="59">
        <v>300000</v>
      </c>
      <c r="I314" s="59"/>
      <c r="J314" s="52"/>
      <c r="K314" s="52"/>
      <c r="L314" s="59"/>
      <c r="M314" s="59"/>
      <c r="N314" s="59"/>
      <c r="O314" s="7">
        <f t="shared" si="84"/>
        <v>0</v>
      </c>
      <c r="P314" s="9"/>
      <c r="Q314" s="9"/>
      <c r="R314" s="9"/>
      <c r="S314" s="9"/>
      <c r="T314" s="9"/>
      <c r="U314" s="9"/>
      <c r="V314" s="9"/>
      <c r="W314" s="5">
        <f t="shared" si="85"/>
        <v>0</v>
      </c>
      <c r="X314" s="6">
        <f t="shared" si="86"/>
        <v>0</v>
      </c>
      <c r="Z314" s="30">
        <f t="shared" si="76"/>
        <v>0</v>
      </c>
    </row>
    <row r="315" spans="6:26" ht="60" customHeight="1" x14ac:dyDescent="0.2">
      <c r="F315" s="50">
        <f t="shared" si="82"/>
        <v>40735</v>
      </c>
      <c r="G315" s="53" t="s">
        <v>396</v>
      </c>
      <c r="H315" s="59">
        <v>610000</v>
      </c>
      <c r="I315" s="59"/>
      <c r="J315" s="52"/>
      <c r="K315" s="52"/>
      <c r="L315" s="59"/>
      <c r="M315" s="59"/>
      <c r="N315" s="59"/>
      <c r="O315" s="7">
        <f t="shared" si="84"/>
        <v>0</v>
      </c>
      <c r="P315" s="9"/>
      <c r="Q315" s="9"/>
      <c r="R315" s="9"/>
      <c r="S315" s="9"/>
      <c r="T315" s="9"/>
      <c r="U315" s="9"/>
      <c r="V315" s="9"/>
      <c r="W315" s="5"/>
      <c r="X315" s="6"/>
      <c r="Z315" s="30">
        <f t="shared" si="76"/>
        <v>0</v>
      </c>
    </row>
    <row r="316" spans="6:26" ht="60" customHeight="1" x14ac:dyDescent="0.2">
      <c r="F316" s="50">
        <f t="shared" si="82"/>
        <v>40736</v>
      </c>
      <c r="G316" s="53" t="s">
        <v>397</v>
      </c>
      <c r="H316" s="59">
        <v>100000</v>
      </c>
      <c r="I316" s="59"/>
      <c r="J316" s="52"/>
      <c r="K316" s="52"/>
      <c r="L316" s="59"/>
      <c r="M316" s="59"/>
      <c r="N316" s="59"/>
      <c r="O316" s="7">
        <f t="shared" si="84"/>
        <v>0</v>
      </c>
      <c r="P316" s="9"/>
      <c r="Q316" s="9"/>
      <c r="R316" s="9"/>
      <c r="S316" s="9"/>
      <c r="T316" s="9"/>
      <c r="U316" s="9"/>
      <c r="V316" s="9"/>
      <c r="W316" s="5"/>
      <c r="X316" s="6"/>
      <c r="Z316" s="30">
        <f t="shared" si="76"/>
        <v>0</v>
      </c>
    </row>
    <row r="317" spans="6:26" ht="60" customHeight="1" x14ac:dyDescent="0.2">
      <c r="F317" s="50">
        <f t="shared" si="82"/>
        <v>40737</v>
      </c>
      <c r="G317" s="53" t="s">
        <v>398</v>
      </c>
      <c r="H317" s="59">
        <v>200000</v>
      </c>
      <c r="I317" s="59"/>
      <c r="J317" s="52"/>
      <c r="K317" s="52"/>
      <c r="L317" s="59"/>
      <c r="M317" s="59"/>
      <c r="N317" s="59"/>
      <c r="O317" s="7">
        <f t="shared" si="84"/>
        <v>0</v>
      </c>
      <c r="P317" s="9"/>
      <c r="Q317" s="9"/>
      <c r="R317" s="9"/>
      <c r="S317" s="9"/>
      <c r="T317" s="9"/>
      <c r="U317" s="9"/>
      <c r="V317" s="9"/>
      <c r="W317" s="5"/>
      <c r="X317" s="6"/>
      <c r="Z317" s="30">
        <f t="shared" si="76"/>
        <v>0</v>
      </c>
    </row>
    <row r="318" spans="6:26" ht="60" customHeight="1" x14ac:dyDescent="0.2">
      <c r="F318" s="58"/>
      <c r="G318" s="56" t="s">
        <v>193</v>
      </c>
      <c r="H318" s="57">
        <f t="shared" ref="H318:W318" si="87">SUM(H281:H317)</f>
        <v>28074045</v>
      </c>
      <c r="I318" s="57">
        <f t="shared" si="87"/>
        <v>22000000</v>
      </c>
      <c r="J318" s="57">
        <f t="shared" si="87"/>
        <v>200000</v>
      </c>
      <c r="K318" s="57">
        <f t="shared" si="87"/>
        <v>0</v>
      </c>
      <c r="L318" s="57">
        <f t="shared" si="87"/>
        <v>10550000</v>
      </c>
      <c r="M318" s="57">
        <f t="shared" si="87"/>
        <v>11250000</v>
      </c>
      <c r="N318" s="57">
        <f t="shared" si="87"/>
        <v>0</v>
      </c>
      <c r="O318" s="6">
        <f t="shared" si="87"/>
        <v>21800000</v>
      </c>
      <c r="P318" s="6">
        <f t="shared" si="87"/>
        <v>0</v>
      </c>
      <c r="Q318" s="6">
        <f t="shared" si="87"/>
        <v>0</v>
      </c>
      <c r="R318" s="6">
        <f t="shared" si="87"/>
        <v>0</v>
      </c>
      <c r="S318" s="6">
        <f t="shared" si="87"/>
        <v>0</v>
      </c>
      <c r="T318" s="6">
        <f t="shared" si="87"/>
        <v>0</v>
      </c>
      <c r="U318" s="6">
        <f t="shared" si="87"/>
        <v>0</v>
      </c>
      <c r="V318" s="6">
        <f t="shared" si="87"/>
        <v>0</v>
      </c>
      <c r="W318" s="6">
        <f t="shared" si="87"/>
        <v>0</v>
      </c>
      <c r="X318" s="6">
        <f t="shared" si="86"/>
        <v>0</v>
      </c>
      <c r="Z318" s="30">
        <f t="shared" si="76"/>
        <v>0</v>
      </c>
    </row>
    <row r="319" spans="6:26" ht="60" customHeight="1" x14ac:dyDescent="0.2">
      <c r="F319" s="50">
        <v>40800</v>
      </c>
      <c r="G319" s="51" t="s">
        <v>194</v>
      </c>
      <c r="H319" s="52"/>
      <c r="I319" s="52"/>
      <c r="J319" s="52"/>
      <c r="K319" s="52"/>
      <c r="L319" s="52"/>
      <c r="M319" s="52"/>
      <c r="N319" s="52"/>
      <c r="O319" s="5"/>
      <c r="P319" s="5"/>
      <c r="Q319" s="5"/>
      <c r="R319" s="5"/>
      <c r="S319" s="5"/>
      <c r="T319" s="5"/>
      <c r="U319" s="5"/>
      <c r="V319" s="5"/>
      <c r="W319" s="5"/>
      <c r="X319" s="6">
        <f t="shared" si="86"/>
        <v>0</v>
      </c>
      <c r="Z319" s="30">
        <f t="shared" si="76"/>
        <v>0</v>
      </c>
    </row>
    <row r="320" spans="6:26" ht="60" customHeight="1" x14ac:dyDescent="0.2">
      <c r="F320" s="50">
        <f t="shared" ref="F320:F330" si="88">+F319+1</f>
        <v>40801</v>
      </c>
      <c r="G320" s="53" t="s">
        <v>195</v>
      </c>
      <c r="H320" s="52"/>
      <c r="I320" s="52">
        <v>2000000</v>
      </c>
      <c r="J320" s="52"/>
      <c r="K320" s="52"/>
      <c r="L320" s="52">
        <f>I320</f>
        <v>2000000</v>
      </c>
      <c r="M320" s="52"/>
      <c r="N320" s="52"/>
      <c r="O320" s="7">
        <f t="shared" ref="O320:O330" si="89">SUM(K320:N320)</f>
        <v>2000000</v>
      </c>
      <c r="P320" s="5"/>
      <c r="Q320" s="5"/>
      <c r="R320" s="5"/>
      <c r="S320" s="5"/>
      <c r="T320" s="5"/>
      <c r="U320" s="5"/>
      <c r="V320" s="5"/>
      <c r="W320" s="5">
        <f t="shared" ref="W320:W330" si="90">V320+U320+T320+S320</f>
        <v>0</v>
      </c>
      <c r="X320" s="6">
        <f t="shared" si="86"/>
        <v>0</v>
      </c>
      <c r="Z320" s="30">
        <f t="shared" si="76"/>
        <v>0</v>
      </c>
    </row>
    <row r="321" spans="6:26" ht="60" customHeight="1" x14ac:dyDescent="0.2">
      <c r="F321" s="50">
        <f t="shared" si="88"/>
        <v>40802</v>
      </c>
      <c r="G321" s="53" t="s">
        <v>399</v>
      </c>
      <c r="H321" s="52"/>
      <c r="I321" s="52">
        <v>2500000</v>
      </c>
      <c r="J321" s="52"/>
      <c r="K321" s="52"/>
      <c r="L321" s="52">
        <f>I321</f>
        <v>2500000</v>
      </c>
      <c r="M321" s="52"/>
      <c r="N321" s="52"/>
      <c r="O321" s="7">
        <f t="shared" si="89"/>
        <v>2500000</v>
      </c>
      <c r="P321" s="5"/>
      <c r="Q321" s="5"/>
      <c r="R321" s="5"/>
      <c r="S321" s="5"/>
      <c r="T321" s="5"/>
      <c r="U321" s="5"/>
      <c r="V321" s="5"/>
      <c r="W321" s="5">
        <f t="shared" si="90"/>
        <v>0</v>
      </c>
      <c r="X321" s="6"/>
      <c r="Z321" s="30">
        <f t="shared" si="76"/>
        <v>0</v>
      </c>
    </row>
    <row r="322" spans="6:26" ht="60" customHeight="1" x14ac:dyDescent="0.2">
      <c r="F322" s="50">
        <f t="shared" si="88"/>
        <v>40803</v>
      </c>
      <c r="G322" s="53" t="s">
        <v>196</v>
      </c>
      <c r="H322" s="52"/>
      <c r="I322" s="52">
        <v>1000000</v>
      </c>
      <c r="J322" s="52"/>
      <c r="K322" s="52"/>
      <c r="L322" s="52"/>
      <c r="M322" s="52">
        <f>I322</f>
        <v>1000000</v>
      </c>
      <c r="N322" s="52"/>
      <c r="O322" s="7">
        <f t="shared" si="89"/>
        <v>1000000</v>
      </c>
      <c r="P322" s="5"/>
      <c r="Q322" s="5"/>
      <c r="R322" s="5"/>
      <c r="S322" s="5"/>
      <c r="T322" s="5"/>
      <c r="U322" s="5"/>
      <c r="V322" s="5"/>
      <c r="W322" s="5">
        <f t="shared" si="90"/>
        <v>0</v>
      </c>
      <c r="X322" s="6">
        <f t="shared" si="86"/>
        <v>0</v>
      </c>
      <c r="Z322" s="30">
        <f t="shared" si="76"/>
        <v>0</v>
      </c>
    </row>
    <row r="323" spans="6:26" ht="60" customHeight="1" x14ac:dyDescent="0.2">
      <c r="F323" s="50">
        <f t="shared" si="88"/>
        <v>40804</v>
      </c>
      <c r="G323" s="53" t="s">
        <v>197</v>
      </c>
      <c r="H323" s="52">
        <f>495000-I323</f>
        <v>195000</v>
      </c>
      <c r="I323" s="52">
        <v>300000</v>
      </c>
      <c r="J323" s="52"/>
      <c r="K323" s="52"/>
      <c r="L323" s="52">
        <f>I323/2</f>
        <v>150000</v>
      </c>
      <c r="M323" s="52">
        <f>I323-L323</f>
        <v>150000</v>
      </c>
      <c r="N323" s="52"/>
      <c r="O323" s="7">
        <f t="shared" si="89"/>
        <v>300000</v>
      </c>
      <c r="P323" s="5"/>
      <c r="Q323" s="5"/>
      <c r="R323" s="5"/>
      <c r="S323" s="5"/>
      <c r="T323" s="5"/>
      <c r="U323" s="5"/>
      <c r="V323" s="5"/>
      <c r="W323" s="5">
        <f t="shared" si="90"/>
        <v>0</v>
      </c>
      <c r="X323" s="6">
        <f t="shared" si="86"/>
        <v>0</v>
      </c>
      <c r="Z323" s="30">
        <f t="shared" si="76"/>
        <v>0</v>
      </c>
    </row>
    <row r="324" spans="6:26" ht="60" customHeight="1" x14ac:dyDescent="0.2">
      <c r="F324" s="50">
        <f t="shared" si="88"/>
        <v>40805</v>
      </c>
      <c r="G324" s="53" t="s">
        <v>198</v>
      </c>
      <c r="H324" s="52"/>
      <c r="I324" s="52">
        <v>420000</v>
      </c>
      <c r="J324" s="52"/>
      <c r="K324" s="52"/>
      <c r="L324" s="52">
        <f>I324</f>
        <v>420000</v>
      </c>
      <c r="M324" s="52"/>
      <c r="N324" s="52"/>
      <c r="O324" s="7">
        <f t="shared" si="89"/>
        <v>420000</v>
      </c>
      <c r="P324" s="5"/>
      <c r="Q324" s="5"/>
      <c r="R324" s="5"/>
      <c r="S324" s="5"/>
      <c r="T324" s="5"/>
      <c r="U324" s="5"/>
      <c r="V324" s="5"/>
      <c r="W324" s="5">
        <f t="shared" si="90"/>
        <v>0</v>
      </c>
      <c r="X324" s="6">
        <f t="shared" si="86"/>
        <v>0</v>
      </c>
      <c r="Z324" s="30">
        <f t="shared" si="76"/>
        <v>0</v>
      </c>
    </row>
    <row r="325" spans="6:26" ht="60" customHeight="1" x14ac:dyDescent="0.2">
      <c r="F325" s="50">
        <f t="shared" si="88"/>
        <v>40806</v>
      </c>
      <c r="G325" s="53" t="s">
        <v>199</v>
      </c>
      <c r="H325" s="52">
        <f>560000-I325</f>
        <v>260000</v>
      </c>
      <c r="I325" s="52">
        <v>300000</v>
      </c>
      <c r="J325" s="52"/>
      <c r="K325" s="52"/>
      <c r="L325" s="52"/>
      <c r="M325" s="52">
        <f>I325</f>
        <v>300000</v>
      </c>
      <c r="N325" s="52"/>
      <c r="O325" s="7">
        <f t="shared" si="89"/>
        <v>300000</v>
      </c>
      <c r="P325" s="5"/>
      <c r="Q325" s="5"/>
      <c r="R325" s="5"/>
      <c r="S325" s="5"/>
      <c r="T325" s="5"/>
      <c r="U325" s="5"/>
      <c r="V325" s="5"/>
      <c r="W325" s="5">
        <f t="shared" si="90"/>
        <v>0</v>
      </c>
      <c r="X325" s="6">
        <f t="shared" si="86"/>
        <v>0</v>
      </c>
      <c r="Z325" s="30">
        <f t="shared" si="76"/>
        <v>0</v>
      </c>
    </row>
    <row r="326" spans="6:26" ht="60" customHeight="1" x14ac:dyDescent="0.2">
      <c r="F326" s="50">
        <f t="shared" si="88"/>
        <v>40807</v>
      </c>
      <c r="G326" s="53" t="s">
        <v>200</v>
      </c>
      <c r="H326" s="59">
        <f>30000-I326</f>
        <v>10000</v>
      </c>
      <c r="I326" s="52">
        <v>20000</v>
      </c>
      <c r="J326" s="52"/>
      <c r="K326" s="52"/>
      <c r="L326" s="52"/>
      <c r="M326" s="52">
        <f>I326</f>
        <v>20000</v>
      </c>
      <c r="N326" s="52"/>
      <c r="O326" s="7">
        <f t="shared" si="89"/>
        <v>20000</v>
      </c>
      <c r="P326" s="5"/>
      <c r="Q326" s="5"/>
      <c r="R326" s="5"/>
      <c r="S326" s="5"/>
      <c r="T326" s="5"/>
      <c r="U326" s="5"/>
      <c r="V326" s="5"/>
      <c r="W326" s="5">
        <f t="shared" si="90"/>
        <v>0</v>
      </c>
      <c r="X326" s="6">
        <f t="shared" si="86"/>
        <v>0</v>
      </c>
      <c r="Z326" s="30">
        <f t="shared" si="76"/>
        <v>0</v>
      </c>
    </row>
    <row r="327" spans="6:26" ht="60" customHeight="1" x14ac:dyDescent="0.2">
      <c r="F327" s="50">
        <f t="shared" si="88"/>
        <v>40808</v>
      </c>
      <c r="G327" s="53" t="s">
        <v>201</v>
      </c>
      <c r="H327" s="52">
        <f>100000-I327</f>
        <v>25000</v>
      </c>
      <c r="I327" s="52">
        <v>75000</v>
      </c>
      <c r="J327" s="52"/>
      <c r="K327" s="52"/>
      <c r="L327" s="52"/>
      <c r="M327" s="52">
        <f>I327</f>
        <v>75000</v>
      </c>
      <c r="N327" s="52"/>
      <c r="O327" s="7">
        <f t="shared" si="89"/>
        <v>75000</v>
      </c>
      <c r="P327" s="5"/>
      <c r="Q327" s="5"/>
      <c r="R327" s="5"/>
      <c r="S327" s="5"/>
      <c r="T327" s="5"/>
      <c r="U327" s="5"/>
      <c r="V327" s="5"/>
      <c r="W327" s="5">
        <f t="shared" si="90"/>
        <v>0</v>
      </c>
      <c r="X327" s="6">
        <f t="shared" si="86"/>
        <v>0</v>
      </c>
      <c r="Z327" s="30">
        <f t="shared" si="76"/>
        <v>0</v>
      </c>
    </row>
    <row r="328" spans="6:26" ht="60" customHeight="1" x14ac:dyDescent="0.2">
      <c r="F328" s="50">
        <f t="shared" si="88"/>
        <v>40809</v>
      </c>
      <c r="G328" s="53" t="s">
        <v>453</v>
      </c>
      <c r="H328" s="52"/>
      <c r="I328" s="52">
        <v>150000</v>
      </c>
      <c r="J328" s="52"/>
      <c r="K328" s="52"/>
      <c r="L328" s="52"/>
      <c r="M328" s="52">
        <f>I328</f>
        <v>150000</v>
      </c>
      <c r="N328" s="52"/>
      <c r="O328" s="7">
        <f>SUM(K328:N328)</f>
        <v>150000</v>
      </c>
      <c r="P328" s="5"/>
      <c r="Q328" s="5"/>
      <c r="R328" s="5"/>
      <c r="S328" s="5"/>
      <c r="T328" s="5"/>
      <c r="U328" s="5"/>
      <c r="V328" s="5"/>
      <c r="W328" s="5"/>
      <c r="X328" s="6"/>
      <c r="Z328" s="30">
        <f t="shared" si="76"/>
        <v>0</v>
      </c>
    </row>
    <row r="329" spans="6:26" ht="60" customHeight="1" x14ac:dyDescent="0.2">
      <c r="F329" s="50">
        <f t="shared" si="88"/>
        <v>40810</v>
      </c>
      <c r="G329" s="53" t="s">
        <v>400</v>
      </c>
      <c r="H329" s="52">
        <v>70000</v>
      </c>
      <c r="I329" s="52"/>
      <c r="J329" s="52"/>
      <c r="K329" s="52"/>
      <c r="L329" s="52"/>
      <c r="M329" s="52"/>
      <c r="N329" s="52"/>
      <c r="O329" s="7">
        <f t="shared" si="89"/>
        <v>0</v>
      </c>
      <c r="P329" s="5"/>
      <c r="Q329" s="5"/>
      <c r="R329" s="5"/>
      <c r="S329" s="5"/>
      <c r="T329" s="5"/>
      <c r="U329" s="5"/>
      <c r="V329" s="5"/>
      <c r="W329" s="5"/>
      <c r="X329" s="6"/>
      <c r="Z329" s="30">
        <f t="shared" si="76"/>
        <v>0</v>
      </c>
    </row>
    <row r="330" spans="6:26" ht="60" customHeight="1" x14ac:dyDescent="0.2">
      <c r="F330" s="50">
        <f t="shared" si="88"/>
        <v>40811</v>
      </c>
      <c r="G330" s="53" t="s">
        <v>202</v>
      </c>
      <c r="H330" s="52"/>
      <c r="I330" s="52">
        <v>75000</v>
      </c>
      <c r="J330" s="52"/>
      <c r="K330" s="52"/>
      <c r="L330" s="52">
        <f>I330</f>
        <v>75000</v>
      </c>
      <c r="M330" s="59"/>
      <c r="N330" s="52"/>
      <c r="O330" s="7">
        <f t="shared" si="89"/>
        <v>75000</v>
      </c>
      <c r="P330" s="5"/>
      <c r="Q330" s="5"/>
      <c r="R330" s="5"/>
      <c r="S330" s="5"/>
      <c r="T330" s="5"/>
      <c r="U330" s="5"/>
      <c r="V330" s="5"/>
      <c r="W330" s="5">
        <f t="shared" si="90"/>
        <v>0</v>
      </c>
      <c r="X330" s="6">
        <f t="shared" si="86"/>
        <v>0</v>
      </c>
      <c r="Z330" s="30">
        <f t="shared" ref="Z330:Z393" si="91">I330-J330-SUM(K330:N330)</f>
        <v>0</v>
      </c>
    </row>
    <row r="331" spans="6:26" ht="60" customHeight="1" x14ac:dyDescent="0.2">
      <c r="F331" s="58"/>
      <c r="G331" s="56" t="s">
        <v>203</v>
      </c>
      <c r="H331" s="57">
        <f t="shared" ref="H331:W331" si="92">SUM(H320:H330)</f>
        <v>560000</v>
      </c>
      <c r="I331" s="57">
        <f>SUM(I320:I330)</f>
        <v>6840000</v>
      </c>
      <c r="J331" s="57">
        <f t="shared" si="92"/>
        <v>0</v>
      </c>
      <c r="K331" s="57">
        <f t="shared" si="92"/>
        <v>0</v>
      </c>
      <c r="L331" s="57">
        <f t="shared" si="92"/>
        <v>5145000</v>
      </c>
      <c r="M331" s="57">
        <f t="shared" si="92"/>
        <v>1695000</v>
      </c>
      <c r="N331" s="57">
        <f t="shared" si="92"/>
        <v>0</v>
      </c>
      <c r="O331" s="6">
        <f t="shared" si="92"/>
        <v>6840000</v>
      </c>
      <c r="P331" s="6">
        <f t="shared" si="92"/>
        <v>0</v>
      </c>
      <c r="Q331" s="6">
        <f t="shared" si="92"/>
        <v>0</v>
      </c>
      <c r="R331" s="6">
        <f t="shared" si="92"/>
        <v>0</v>
      </c>
      <c r="S331" s="6">
        <f t="shared" si="92"/>
        <v>0</v>
      </c>
      <c r="T331" s="6">
        <f t="shared" si="92"/>
        <v>0</v>
      </c>
      <c r="U331" s="6">
        <f t="shared" si="92"/>
        <v>0</v>
      </c>
      <c r="V331" s="6">
        <f t="shared" si="92"/>
        <v>0</v>
      </c>
      <c r="W331" s="6">
        <f t="shared" si="92"/>
        <v>0</v>
      </c>
      <c r="X331" s="6">
        <f t="shared" si="86"/>
        <v>0</v>
      </c>
      <c r="Z331" s="30">
        <f t="shared" si="91"/>
        <v>0</v>
      </c>
    </row>
    <row r="332" spans="6:26" ht="60" customHeight="1" x14ac:dyDescent="0.2">
      <c r="F332" s="50">
        <v>40900</v>
      </c>
      <c r="G332" s="51" t="s">
        <v>204</v>
      </c>
      <c r="H332" s="57"/>
      <c r="I332" s="57"/>
      <c r="J332" s="57"/>
      <c r="K332" s="57"/>
      <c r="L332" s="57"/>
      <c r="M332" s="57"/>
      <c r="N332" s="57"/>
      <c r="O332" s="6"/>
      <c r="P332" s="6"/>
      <c r="Q332" s="6"/>
      <c r="R332" s="6"/>
      <c r="S332" s="6"/>
      <c r="T332" s="6"/>
      <c r="U332" s="6"/>
      <c r="V332" s="6"/>
      <c r="W332" s="5"/>
      <c r="X332" s="6">
        <f t="shared" si="86"/>
        <v>0</v>
      </c>
      <c r="Z332" s="30">
        <f t="shared" si="91"/>
        <v>0</v>
      </c>
    </row>
    <row r="333" spans="6:26" ht="60" customHeight="1" x14ac:dyDescent="0.2">
      <c r="F333" s="50">
        <f>+F332+1</f>
        <v>40901</v>
      </c>
      <c r="G333" s="53" t="s">
        <v>325</v>
      </c>
      <c r="H333" s="52">
        <f>559000-I333</f>
        <v>359000</v>
      </c>
      <c r="I333" s="52">
        <v>200000</v>
      </c>
      <c r="J333" s="52"/>
      <c r="K333" s="52"/>
      <c r="L333" s="52"/>
      <c r="M333" s="52"/>
      <c r="N333" s="52">
        <f>I333</f>
        <v>200000</v>
      </c>
      <c r="O333" s="7">
        <f>SUM(K333:N333)</f>
        <v>200000</v>
      </c>
      <c r="P333" s="5"/>
      <c r="Q333" s="5"/>
      <c r="R333" s="5"/>
      <c r="S333" s="5"/>
      <c r="T333" s="5"/>
      <c r="U333" s="5"/>
      <c r="V333" s="5"/>
      <c r="W333" s="5">
        <f>V333+U333+T333+S333</f>
        <v>0</v>
      </c>
      <c r="X333" s="6"/>
      <c r="Z333" s="30">
        <f t="shared" si="91"/>
        <v>0</v>
      </c>
    </row>
    <row r="334" spans="6:26" ht="60" customHeight="1" x14ac:dyDescent="0.2">
      <c r="F334" s="50"/>
      <c r="G334" s="56" t="s">
        <v>205</v>
      </c>
      <c r="H334" s="57">
        <f t="shared" ref="H334:W334" si="93">SUM(H333:H333)</f>
        <v>359000</v>
      </c>
      <c r="I334" s="57">
        <f t="shared" si="93"/>
        <v>200000</v>
      </c>
      <c r="J334" s="57">
        <f t="shared" si="93"/>
        <v>0</v>
      </c>
      <c r="K334" s="57">
        <f t="shared" si="93"/>
        <v>0</v>
      </c>
      <c r="L334" s="57">
        <f t="shared" si="93"/>
        <v>0</v>
      </c>
      <c r="M334" s="57">
        <f t="shared" si="93"/>
        <v>0</v>
      </c>
      <c r="N334" s="57">
        <f t="shared" si="93"/>
        <v>200000</v>
      </c>
      <c r="O334" s="6">
        <f t="shared" si="93"/>
        <v>200000</v>
      </c>
      <c r="P334" s="6">
        <f t="shared" si="93"/>
        <v>0</v>
      </c>
      <c r="Q334" s="6">
        <f t="shared" si="93"/>
        <v>0</v>
      </c>
      <c r="R334" s="6">
        <f t="shared" si="93"/>
        <v>0</v>
      </c>
      <c r="S334" s="6">
        <f t="shared" si="93"/>
        <v>0</v>
      </c>
      <c r="T334" s="6">
        <f t="shared" si="93"/>
        <v>0</v>
      </c>
      <c r="U334" s="6">
        <f t="shared" si="93"/>
        <v>0</v>
      </c>
      <c r="V334" s="6">
        <f t="shared" si="93"/>
        <v>0</v>
      </c>
      <c r="W334" s="6">
        <f t="shared" si="93"/>
        <v>0</v>
      </c>
      <c r="X334" s="6">
        <f t="shared" si="86"/>
        <v>0</v>
      </c>
      <c r="Z334" s="30">
        <f t="shared" si="91"/>
        <v>0</v>
      </c>
    </row>
    <row r="335" spans="6:26" ht="60" customHeight="1" x14ac:dyDescent="0.2">
      <c r="F335" s="58"/>
      <c r="G335" s="56" t="s">
        <v>206</v>
      </c>
      <c r="H335" s="57">
        <f t="shared" ref="H335:W335" si="94">H331+H318+H279+H266+H262+H334</f>
        <v>68009157</v>
      </c>
      <c r="I335" s="57">
        <f t="shared" si="94"/>
        <v>126155000</v>
      </c>
      <c r="J335" s="57">
        <f t="shared" si="94"/>
        <v>1700000</v>
      </c>
      <c r="K335" s="57">
        <f t="shared" si="94"/>
        <v>23905000</v>
      </c>
      <c r="L335" s="57">
        <f t="shared" si="94"/>
        <v>75780000</v>
      </c>
      <c r="M335" s="57">
        <f t="shared" si="94"/>
        <v>24570000</v>
      </c>
      <c r="N335" s="57">
        <f t="shared" si="94"/>
        <v>200000</v>
      </c>
      <c r="O335" s="6">
        <f t="shared" si="94"/>
        <v>124455000</v>
      </c>
      <c r="P335" s="6">
        <f t="shared" si="94"/>
        <v>0</v>
      </c>
      <c r="Q335" s="6">
        <f t="shared" si="94"/>
        <v>0</v>
      </c>
      <c r="R335" s="6">
        <f t="shared" si="94"/>
        <v>0</v>
      </c>
      <c r="S335" s="6">
        <f t="shared" si="94"/>
        <v>0</v>
      </c>
      <c r="T335" s="6">
        <f t="shared" si="94"/>
        <v>0</v>
      </c>
      <c r="U335" s="6">
        <f t="shared" si="94"/>
        <v>0</v>
      </c>
      <c r="V335" s="6">
        <f t="shared" si="94"/>
        <v>0</v>
      </c>
      <c r="W335" s="6">
        <f t="shared" si="94"/>
        <v>0</v>
      </c>
      <c r="X335" s="6">
        <f t="shared" si="86"/>
        <v>0</v>
      </c>
      <c r="Z335" s="30">
        <f t="shared" si="91"/>
        <v>0</v>
      </c>
    </row>
    <row r="336" spans="6:26" ht="60" customHeight="1" x14ac:dyDescent="0.2">
      <c r="F336" s="50">
        <v>41000</v>
      </c>
      <c r="G336" s="51" t="s">
        <v>207</v>
      </c>
      <c r="H336" s="59"/>
      <c r="I336" s="52"/>
      <c r="J336" s="52"/>
      <c r="K336" s="52"/>
      <c r="L336" s="52"/>
      <c r="M336" s="52"/>
      <c r="N336" s="52"/>
      <c r="O336" s="5"/>
      <c r="P336" s="5"/>
      <c r="Q336" s="5"/>
      <c r="R336" s="5"/>
      <c r="S336" s="5"/>
      <c r="T336" s="5"/>
      <c r="U336" s="5"/>
      <c r="V336" s="5"/>
      <c r="W336" s="5"/>
      <c r="X336" s="6">
        <f t="shared" si="86"/>
        <v>0</v>
      </c>
      <c r="Z336" s="30">
        <f t="shared" si="91"/>
        <v>0</v>
      </c>
    </row>
    <row r="337" spans="6:26" ht="60" customHeight="1" x14ac:dyDescent="0.2">
      <c r="F337" s="50">
        <f t="shared" ref="F337:F347" si="95">+F336+1</f>
        <v>41001</v>
      </c>
      <c r="G337" s="53" t="s">
        <v>208</v>
      </c>
      <c r="H337" s="52"/>
      <c r="I337" s="52">
        <v>140000</v>
      </c>
      <c r="J337" s="52"/>
      <c r="K337" s="52"/>
      <c r="L337" s="52"/>
      <c r="M337" s="52">
        <f>I337</f>
        <v>140000</v>
      </c>
      <c r="N337" s="52"/>
      <c r="O337" s="7">
        <f t="shared" ref="O337:O347" si="96">SUM(K337:N337)</f>
        <v>140000</v>
      </c>
      <c r="P337" s="5"/>
      <c r="Q337" s="5"/>
      <c r="R337" s="5"/>
      <c r="S337" s="5"/>
      <c r="T337" s="5"/>
      <c r="U337" s="5"/>
      <c r="V337" s="5"/>
      <c r="W337" s="5">
        <f t="shared" ref="W337:W355" si="97">V337+U337+T337+S337</f>
        <v>0</v>
      </c>
      <c r="X337" s="6">
        <f t="shared" si="86"/>
        <v>0</v>
      </c>
      <c r="Z337" s="30">
        <f t="shared" si="91"/>
        <v>0</v>
      </c>
    </row>
    <row r="338" spans="6:26" ht="60" customHeight="1" x14ac:dyDescent="0.2">
      <c r="F338" s="50">
        <f t="shared" si="95"/>
        <v>41002</v>
      </c>
      <c r="G338" s="53" t="s">
        <v>347</v>
      </c>
      <c r="H338" s="52">
        <v>300000</v>
      </c>
      <c r="I338" s="52"/>
      <c r="J338" s="52"/>
      <c r="K338" s="52"/>
      <c r="L338" s="52"/>
      <c r="M338" s="52"/>
      <c r="N338" s="52"/>
      <c r="O338" s="7">
        <f t="shared" si="96"/>
        <v>0</v>
      </c>
      <c r="P338" s="5"/>
      <c r="Q338" s="5"/>
      <c r="R338" s="5"/>
      <c r="S338" s="5"/>
      <c r="T338" s="5"/>
      <c r="U338" s="5"/>
      <c r="V338" s="5"/>
      <c r="W338" s="5">
        <f t="shared" si="97"/>
        <v>0</v>
      </c>
      <c r="X338" s="6"/>
      <c r="Z338" s="30">
        <f t="shared" si="91"/>
        <v>0</v>
      </c>
    </row>
    <row r="339" spans="6:26" ht="60" customHeight="1" x14ac:dyDescent="0.2">
      <c r="F339" s="50">
        <f t="shared" si="95"/>
        <v>41003</v>
      </c>
      <c r="G339" s="53" t="s">
        <v>209</v>
      </c>
      <c r="H339" s="52">
        <f>170000-I339</f>
        <v>70000</v>
      </c>
      <c r="I339" s="52">
        <v>100000</v>
      </c>
      <c r="J339" s="52"/>
      <c r="K339" s="52"/>
      <c r="L339" s="52"/>
      <c r="M339" s="52">
        <f>I339</f>
        <v>100000</v>
      </c>
      <c r="N339" s="52"/>
      <c r="O339" s="7">
        <f t="shared" si="96"/>
        <v>100000</v>
      </c>
      <c r="P339" s="5"/>
      <c r="Q339" s="5"/>
      <c r="R339" s="5"/>
      <c r="S339" s="5"/>
      <c r="T339" s="5"/>
      <c r="U339" s="5"/>
      <c r="V339" s="5"/>
      <c r="W339" s="5">
        <f t="shared" si="97"/>
        <v>0</v>
      </c>
      <c r="X339" s="6">
        <f t="shared" si="86"/>
        <v>0</v>
      </c>
      <c r="Z339" s="30">
        <f t="shared" si="91"/>
        <v>0</v>
      </c>
    </row>
    <row r="340" spans="6:26" ht="60" customHeight="1" x14ac:dyDescent="0.2">
      <c r="F340" s="50">
        <f t="shared" si="95"/>
        <v>41004</v>
      </c>
      <c r="G340" s="53" t="s">
        <v>210</v>
      </c>
      <c r="H340" s="52"/>
      <c r="I340" s="52">
        <v>1500000</v>
      </c>
      <c r="J340" s="52"/>
      <c r="K340" s="52"/>
      <c r="L340" s="52"/>
      <c r="M340" s="52">
        <f>I340/2</f>
        <v>750000</v>
      </c>
      <c r="N340" s="52">
        <f>I340-M340</f>
        <v>750000</v>
      </c>
      <c r="O340" s="7">
        <f t="shared" si="96"/>
        <v>1500000</v>
      </c>
      <c r="P340" s="5"/>
      <c r="Q340" s="5"/>
      <c r="R340" s="5"/>
      <c r="S340" s="5"/>
      <c r="T340" s="5"/>
      <c r="U340" s="5"/>
      <c r="V340" s="5"/>
      <c r="W340" s="5">
        <f t="shared" si="97"/>
        <v>0</v>
      </c>
      <c r="X340" s="6">
        <f t="shared" si="86"/>
        <v>0</v>
      </c>
      <c r="Z340" s="30">
        <f t="shared" si="91"/>
        <v>0</v>
      </c>
    </row>
    <row r="341" spans="6:26" ht="60" customHeight="1" x14ac:dyDescent="0.2">
      <c r="F341" s="50">
        <f t="shared" si="95"/>
        <v>41005</v>
      </c>
      <c r="G341" s="53" t="s">
        <v>211</v>
      </c>
      <c r="H341" s="52"/>
      <c r="I341" s="52">
        <v>360000</v>
      </c>
      <c r="J341" s="52">
        <f>I341</f>
        <v>360000</v>
      </c>
      <c r="K341" s="52"/>
      <c r="L341" s="52"/>
      <c r="M341" s="59"/>
      <c r="N341" s="52"/>
      <c r="O341" s="7">
        <f t="shared" si="96"/>
        <v>0</v>
      </c>
      <c r="P341" s="5"/>
      <c r="Q341" s="5"/>
      <c r="R341" s="5"/>
      <c r="S341" s="5"/>
      <c r="T341" s="5"/>
      <c r="U341" s="5"/>
      <c r="V341" s="5"/>
      <c r="W341" s="5">
        <f t="shared" si="97"/>
        <v>0</v>
      </c>
      <c r="X341" s="6">
        <f t="shared" si="86"/>
        <v>0</v>
      </c>
      <c r="Z341" s="30">
        <f t="shared" si="91"/>
        <v>0</v>
      </c>
    </row>
    <row r="342" spans="6:26" ht="60" customHeight="1" x14ac:dyDescent="0.2">
      <c r="F342" s="50">
        <f t="shared" si="95"/>
        <v>41006</v>
      </c>
      <c r="G342" s="53" t="s">
        <v>401</v>
      </c>
      <c r="H342" s="59"/>
      <c r="I342" s="52">
        <v>130000</v>
      </c>
      <c r="J342" s="52"/>
      <c r="K342" s="52"/>
      <c r="L342" s="52"/>
      <c r="M342" s="59">
        <f>I342</f>
        <v>130000</v>
      </c>
      <c r="N342" s="52"/>
      <c r="O342" s="7">
        <f t="shared" si="96"/>
        <v>130000</v>
      </c>
      <c r="P342" s="5"/>
      <c r="Q342" s="5"/>
      <c r="R342" s="5"/>
      <c r="S342" s="5"/>
      <c r="T342" s="5"/>
      <c r="U342" s="5"/>
      <c r="V342" s="5"/>
      <c r="W342" s="5"/>
      <c r="X342" s="6"/>
      <c r="Z342" s="30">
        <f t="shared" si="91"/>
        <v>0</v>
      </c>
    </row>
    <row r="343" spans="6:26" ht="60" customHeight="1" x14ac:dyDescent="0.2">
      <c r="F343" s="50">
        <f t="shared" si="95"/>
        <v>41007</v>
      </c>
      <c r="G343" s="53" t="s">
        <v>476</v>
      </c>
      <c r="H343" s="52">
        <v>160000</v>
      </c>
      <c r="I343" s="52"/>
      <c r="J343" s="52"/>
      <c r="K343" s="52"/>
      <c r="L343" s="52"/>
      <c r="M343" s="59"/>
      <c r="N343" s="52"/>
      <c r="O343" s="7">
        <f t="shared" si="96"/>
        <v>0</v>
      </c>
      <c r="P343" s="5"/>
      <c r="Q343" s="5"/>
      <c r="R343" s="5"/>
      <c r="S343" s="5"/>
      <c r="T343" s="5"/>
      <c r="U343" s="5"/>
      <c r="V343" s="5"/>
      <c r="W343" s="5"/>
      <c r="X343" s="6"/>
      <c r="Z343" s="30">
        <f t="shared" si="91"/>
        <v>0</v>
      </c>
    </row>
    <row r="344" spans="6:26" ht="60" customHeight="1" x14ac:dyDescent="0.2">
      <c r="F344" s="50">
        <f t="shared" si="95"/>
        <v>41008</v>
      </c>
      <c r="G344" s="53" t="s">
        <v>402</v>
      </c>
      <c r="H344" s="52">
        <v>300000</v>
      </c>
      <c r="I344" s="52"/>
      <c r="J344" s="52"/>
      <c r="K344" s="52"/>
      <c r="L344" s="52"/>
      <c r="M344" s="59"/>
      <c r="N344" s="52"/>
      <c r="O344" s="7">
        <f t="shared" si="96"/>
        <v>0</v>
      </c>
      <c r="P344" s="5"/>
      <c r="Q344" s="5"/>
      <c r="R344" s="5"/>
      <c r="S344" s="5"/>
      <c r="T344" s="5"/>
      <c r="U344" s="5"/>
      <c r="V344" s="5"/>
      <c r="W344" s="5"/>
      <c r="X344" s="6"/>
      <c r="Z344" s="30">
        <f t="shared" si="91"/>
        <v>0</v>
      </c>
    </row>
    <row r="345" spans="6:26" ht="60" customHeight="1" x14ac:dyDescent="0.2">
      <c r="F345" s="50">
        <f t="shared" si="95"/>
        <v>41009</v>
      </c>
      <c r="G345" s="53" t="s">
        <v>403</v>
      </c>
      <c r="H345" s="52">
        <v>135000</v>
      </c>
      <c r="I345" s="52"/>
      <c r="J345" s="52"/>
      <c r="K345" s="52"/>
      <c r="L345" s="52"/>
      <c r="M345" s="59"/>
      <c r="N345" s="52"/>
      <c r="O345" s="7">
        <f t="shared" si="96"/>
        <v>0</v>
      </c>
      <c r="P345" s="5"/>
      <c r="Q345" s="5"/>
      <c r="R345" s="5"/>
      <c r="S345" s="5"/>
      <c r="T345" s="5"/>
      <c r="U345" s="5"/>
      <c r="V345" s="5"/>
      <c r="W345" s="5"/>
      <c r="X345" s="6"/>
      <c r="Z345" s="30">
        <f t="shared" si="91"/>
        <v>0</v>
      </c>
    </row>
    <row r="346" spans="6:26" ht="60" customHeight="1" x14ac:dyDescent="0.2">
      <c r="F346" s="50">
        <f t="shared" si="95"/>
        <v>41010</v>
      </c>
      <c r="G346" s="53" t="s">
        <v>404</v>
      </c>
      <c r="H346" s="52">
        <v>200000</v>
      </c>
      <c r="I346" s="52"/>
      <c r="J346" s="52"/>
      <c r="K346" s="52"/>
      <c r="L346" s="52"/>
      <c r="M346" s="59"/>
      <c r="N346" s="52"/>
      <c r="O346" s="7">
        <f t="shared" si="96"/>
        <v>0</v>
      </c>
      <c r="P346" s="5"/>
      <c r="Q346" s="5"/>
      <c r="R346" s="5"/>
      <c r="S346" s="5"/>
      <c r="T346" s="5"/>
      <c r="U346" s="5"/>
      <c r="V346" s="5"/>
      <c r="W346" s="5"/>
      <c r="X346" s="6"/>
      <c r="Z346" s="30">
        <f t="shared" si="91"/>
        <v>0</v>
      </c>
    </row>
    <row r="347" spans="6:26" ht="60" customHeight="1" x14ac:dyDescent="0.2">
      <c r="F347" s="50">
        <f t="shared" si="95"/>
        <v>41011</v>
      </c>
      <c r="G347" s="53" t="s">
        <v>477</v>
      </c>
      <c r="H347" s="52">
        <v>200000</v>
      </c>
      <c r="I347" s="52"/>
      <c r="J347" s="52"/>
      <c r="K347" s="52"/>
      <c r="L347" s="52"/>
      <c r="M347" s="59"/>
      <c r="N347" s="52"/>
      <c r="O347" s="7">
        <f t="shared" si="96"/>
        <v>0</v>
      </c>
      <c r="P347" s="5"/>
      <c r="Q347" s="5"/>
      <c r="R347" s="5"/>
      <c r="S347" s="5"/>
      <c r="T347" s="5"/>
      <c r="U347" s="5"/>
      <c r="V347" s="5"/>
      <c r="W347" s="5"/>
      <c r="X347" s="6"/>
      <c r="Z347" s="30">
        <f t="shared" si="91"/>
        <v>0</v>
      </c>
    </row>
    <row r="348" spans="6:26" ht="60" customHeight="1" x14ac:dyDescent="0.2">
      <c r="F348" s="58"/>
      <c r="G348" s="56" t="s">
        <v>212</v>
      </c>
      <c r="H348" s="57">
        <f t="shared" ref="H348:W348" si="98">SUM(H337:H347)</f>
        <v>1365000</v>
      </c>
      <c r="I348" s="57">
        <f t="shared" si="98"/>
        <v>2230000</v>
      </c>
      <c r="J348" s="57">
        <f t="shared" si="98"/>
        <v>360000</v>
      </c>
      <c r="K348" s="57">
        <f t="shared" si="98"/>
        <v>0</v>
      </c>
      <c r="L348" s="57">
        <f t="shared" si="98"/>
        <v>0</v>
      </c>
      <c r="M348" s="57">
        <f t="shared" si="98"/>
        <v>1120000</v>
      </c>
      <c r="N348" s="57">
        <f t="shared" si="98"/>
        <v>750000</v>
      </c>
      <c r="O348" s="6">
        <f t="shared" si="98"/>
        <v>1870000</v>
      </c>
      <c r="P348" s="6">
        <f t="shared" si="98"/>
        <v>0</v>
      </c>
      <c r="Q348" s="6">
        <f t="shared" si="98"/>
        <v>0</v>
      </c>
      <c r="R348" s="6">
        <f t="shared" si="98"/>
        <v>0</v>
      </c>
      <c r="S348" s="6">
        <f t="shared" si="98"/>
        <v>0</v>
      </c>
      <c r="T348" s="6">
        <f t="shared" si="98"/>
        <v>0</v>
      </c>
      <c r="U348" s="6">
        <f t="shared" si="98"/>
        <v>0</v>
      </c>
      <c r="V348" s="6">
        <f t="shared" si="98"/>
        <v>0</v>
      </c>
      <c r="W348" s="6">
        <f t="shared" si="98"/>
        <v>0</v>
      </c>
      <c r="X348" s="6">
        <f t="shared" si="86"/>
        <v>0</v>
      </c>
      <c r="Z348" s="30">
        <f t="shared" si="91"/>
        <v>0</v>
      </c>
    </row>
    <row r="349" spans="6:26" ht="60" customHeight="1" x14ac:dyDescent="0.2">
      <c r="F349" s="50">
        <v>41100</v>
      </c>
      <c r="G349" s="51" t="s">
        <v>213</v>
      </c>
      <c r="H349" s="59"/>
      <c r="I349" s="52"/>
      <c r="J349" s="52"/>
      <c r="K349" s="52"/>
      <c r="L349" s="52"/>
      <c r="M349" s="59"/>
      <c r="N349" s="52"/>
      <c r="O349" s="5"/>
      <c r="P349" s="5"/>
      <c r="Q349" s="5"/>
      <c r="R349" s="5"/>
      <c r="S349" s="5"/>
      <c r="T349" s="5"/>
      <c r="U349" s="5"/>
      <c r="V349" s="5"/>
      <c r="W349" s="5"/>
      <c r="X349" s="6">
        <f t="shared" si="86"/>
        <v>0</v>
      </c>
      <c r="Z349" s="30">
        <f t="shared" si="91"/>
        <v>0</v>
      </c>
    </row>
    <row r="350" spans="6:26" ht="60" customHeight="1" x14ac:dyDescent="0.2">
      <c r="F350" s="50">
        <f t="shared" ref="F350:F358" si="99">+F349+1</f>
        <v>41101</v>
      </c>
      <c r="G350" s="53" t="s">
        <v>214</v>
      </c>
      <c r="H350" s="52">
        <f>988500+50000-I350</f>
        <v>538500</v>
      </c>
      <c r="I350" s="52">
        <v>500000</v>
      </c>
      <c r="J350" s="52"/>
      <c r="K350" s="52"/>
      <c r="L350" s="52"/>
      <c r="M350" s="59">
        <f>I350/2</f>
        <v>250000</v>
      </c>
      <c r="N350" s="52">
        <f>I350-M350</f>
        <v>250000</v>
      </c>
      <c r="O350" s="7">
        <f t="shared" ref="O350:O355" si="100">SUM(K350:N350)</f>
        <v>500000</v>
      </c>
      <c r="P350" s="5"/>
      <c r="Q350" s="5"/>
      <c r="R350" s="5"/>
      <c r="S350" s="5"/>
      <c r="T350" s="5"/>
      <c r="U350" s="5"/>
      <c r="V350" s="5"/>
      <c r="W350" s="5">
        <f t="shared" si="97"/>
        <v>0</v>
      </c>
      <c r="X350" s="6">
        <f t="shared" si="86"/>
        <v>0</v>
      </c>
      <c r="Z350" s="30">
        <f t="shared" si="91"/>
        <v>0</v>
      </c>
    </row>
    <row r="351" spans="6:26" ht="60" customHeight="1" x14ac:dyDescent="0.2">
      <c r="F351" s="50">
        <f t="shared" si="99"/>
        <v>41102</v>
      </c>
      <c r="G351" s="53" t="s">
        <v>215</v>
      </c>
      <c r="H351" s="52">
        <f>1162138-I351</f>
        <v>762138</v>
      </c>
      <c r="I351" s="52">
        <v>400000</v>
      </c>
      <c r="J351" s="52"/>
      <c r="K351" s="52"/>
      <c r="L351" s="52"/>
      <c r="M351" s="59"/>
      <c r="N351" s="52">
        <f>I351-M351</f>
        <v>400000</v>
      </c>
      <c r="O351" s="7">
        <f t="shared" si="100"/>
        <v>400000</v>
      </c>
      <c r="P351" s="5"/>
      <c r="Q351" s="5"/>
      <c r="R351" s="5"/>
      <c r="S351" s="5"/>
      <c r="T351" s="5"/>
      <c r="U351" s="5"/>
      <c r="V351" s="5"/>
      <c r="W351" s="5">
        <f t="shared" si="97"/>
        <v>0</v>
      </c>
      <c r="X351" s="6">
        <f t="shared" si="86"/>
        <v>0</v>
      </c>
      <c r="Z351" s="30">
        <f t="shared" si="91"/>
        <v>0</v>
      </c>
    </row>
    <row r="352" spans="6:26" ht="60" customHeight="1" x14ac:dyDescent="0.2">
      <c r="F352" s="50">
        <f t="shared" si="99"/>
        <v>41103</v>
      </c>
      <c r="G352" s="53" t="s">
        <v>216</v>
      </c>
      <c r="H352" s="52"/>
      <c r="I352" s="52">
        <v>150000</v>
      </c>
      <c r="J352" s="52"/>
      <c r="K352" s="52"/>
      <c r="L352" s="52"/>
      <c r="M352" s="59"/>
      <c r="N352" s="52">
        <f>I352-M352</f>
        <v>150000</v>
      </c>
      <c r="O352" s="7">
        <f t="shared" si="100"/>
        <v>150000</v>
      </c>
      <c r="P352" s="5"/>
      <c r="Q352" s="5"/>
      <c r="R352" s="5"/>
      <c r="S352" s="5"/>
      <c r="T352" s="5"/>
      <c r="U352" s="5"/>
      <c r="V352" s="5"/>
      <c r="W352" s="5">
        <f t="shared" si="97"/>
        <v>0</v>
      </c>
      <c r="X352" s="6">
        <f t="shared" si="86"/>
        <v>0</v>
      </c>
      <c r="Z352" s="30">
        <f t="shared" si="91"/>
        <v>0</v>
      </c>
    </row>
    <row r="353" spans="6:26" ht="60" customHeight="1" x14ac:dyDescent="0.2">
      <c r="F353" s="50">
        <f t="shared" si="99"/>
        <v>41104</v>
      </c>
      <c r="G353" s="53" t="s">
        <v>217</v>
      </c>
      <c r="H353" s="52">
        <f>664842-I353</f>
        <v>164842</v>
      </c>
      <c r="I353" s="52">
        <v>500000</v>
      </c>
      <c r="J353" s="52"/>
      <c r="K353" s="52"/>
      <c r="L353" s="52"/>
      <c r="M353" s="59">
        <f>I353</f>
        <v>500000</v>
      </c>
      <c r="N353" s="52"/>
      <c r="O353" s="7">
        <f t="shared" si="100"/>
        <v>500000</v>
      </c>
      <c r="P353" s="5"/>
      <c r="Q353" s="5"/>
      <c r="R353" s="5"/>
      <c r="S353" s="5"/>
      <c r="T353" s="5"/>
      <c r="U353" s="5"/>
      <c r="V353" s="5"/>
      <c r="W353" s="5">
        <f t="shared" si="97"/>
        <v>0</v>
      </c>
      <c r="X353" s="6">
        <f t="shared" si="86"/>
        <v>0</v>
      </c>
      <c r="Z353" s="30">
        <f t="shared" si="91"/>
        <v>0</v>
      </c>
    </row>
    <row r="354" spans="6:26" ht="60" customHeight="1" x14ac:dyDescent="0.2">
      <c r="F354" s="50">
        <f t="shared" si="99"/>
        <v>41105</v>
      </c>
      <c r="G354" s="53" t="s">
        <v>348</v>
      </c>
      <c r="H354" s="52"/>
      <c r="I354" s="52">
        <v>50000</v>
      </c>
      <c r="J354" s="52"/>
      <c r="K354" s="52"/>
      <c r="L354" s="52"/>
      <c r="M354" s="59">
        <f>I354</f>
        <v>50000</v>
      </c>
      <c r="N354" s="52"/>
      <c r="O354" s="7">
        <f t="shared" si="100"/>
        <v>50000</v>
      </c>
      <c r="P354" s="5"/>
      <c r="Q354" s="5"/>
      <c r="R354" s="5"/>
      <c r="S354" s="5"/>
      <c r="T354" s="5"/>
      <c r="U354" s="5"/>
      <c r="V354" s="5"/>
      <c r="W354" s="5">
        <f t="shared" si="97"/>
        <v>0</v>
      </c>
      <c r="X354" s="6"/>
      <c r="Z354" s="30">
        <f t="shared" si="91"/>
        <v>0</v>
      </c>
    </row>
    <row r="355" spans="6:26" ht="60" customHeight="1" x14ac:dyDescent="0.2">
      <c r="F355" s="50">
        <f t="shared" si="99"/>
        <v>41106</v>
      </c>
      <c r="G355" s="53" t="s">
        <v>326</v>
      </c>
      <c r="H355" s="52">
        <v>250000</v>
      </c>
      <c r="I355" s="52"/>
      <c r="J355" s="52"/>
      <c r="K355" s="52"/>
      <c r="L355" s="52"/>
      <c r="M355" s="59"/>
      <c r="N355" s="52"/>
      <c r="O355" s="7">
        <f t="shared" si="100"/>
        <v>0</v>
      </c>
      <c r="P355" s="5"/>
      <c r="Q355" s="5"/>
      <c r="R355" s="5"/>
      <c r="S355" s="5"/>
      <c r="T355" s="5"/>
      <c r="U355" s="5"/>
      <c r="V355" s="5"/>
      <c r="W355" s="5">
        <f t="shared" si="97"/>
        <v>0</v>
      </c>
      <c r="X355" s="6">
        <f t="shared" si="86"/>
        <v>0</v>
      </c>
      <c r="Z355" s="30">
        <f t="shared" si="91"/>
        <v>0</v>
      </c>
    </row>
    <row r="356" spans="6:26" ht="60" customHeight="1" x14ac:dyDescent="0.2">
      <c r="F356" s="50"/>
      <c r="G356" s="56" t="s">
        <v>218</v>
      </c>
      <c r="H356" s="57">
        <f t="shared" ref="H356:W356" si="101">SUM(H350:H355)</f>
        <v>1715480</v>
      </c>
      <c r="I356" s="57">
        <f t="shared" si="101"/>
        <v>1600000</v>
      </c>
      <c r="J356" s="57">
        <f t="shared" si="101"/>
        <v>0</v>
      </c>
      <c r="K356" s="57">
        <f t="shared" si="101"/>
        <v>0</v>
      </c>
      <c r="L356" s="57">
        <f t="shared" si="101"/>
        <v>0</v>
      </c>
      <c r="M356" s="57">
        <f t="shared" si="101"/>
        <v>800000</v>
      </c>
      <c r="N356" s="57">
        <f t="shared" si="101"/>
        <v>800000</v>
      </c>
      <c r="O356" s="6">
        <f t="shared" si="101"/>
        <v>1600000</v>
      </c>
      <c r="P356" s="6">
        <f t="shared" si="101"/>
        <v>0</v>
      </c>
      <c r="Q356" s="6">
        <f t="shared" si="101"/>
        <v>0</v>
      </c>
      <c r="R356" s="6">
        <f t="shared" si="101"/>
        <v>0</v>
      </c>
      <c r="S356" s="6">
        <f t="shared" si="101"/>
        <v>0</v>
      </c>
      <c r="T356" s="6">
        <f t="shared" si="101"/>
        <v>0</v>
      </c>
      <c r="U356" s="6">
        <f t="shared" si="101"/>
        <v>0</v>
      </c>
      <c r="V356" s="6">
        <f t="shared" si="101"/>
        <v>0</v>
      </c>
      <c r="W356" s="6">
        <f t="shared" si="101"/>
        <v>0</v>
      </c>
      <c r="X356" s="6">
        <f t="shared" si="86"/>
        <v>0</v>
      </c>
      <c r="Z356" s="30">
        <f t="shared" si="91"/>
        <v>0</v>
      </c>
    </row>
    <row r="357" spans="6:26" ht="60" customHeight="1" x14ac:dyDescent="0.2">
      <c r="F357" s="50">
        <v>41200</v>
      </c>
      <c r="G357" s="51" t="s">
        <v>219</v>
      </c>
      <c r="H357" s="52"/>
      <c r="I357" s="52"/>
      <c r="J357" s="52"/>
      <c r="K357" s="52"/>
      <c r="L357" s="52"/>
      <c r="M357" s="59"/>
      <c r="N357" s="52"/>
      <c r="O357" s="5"/>
      <c r="P357" s="5"/>
      <c r="Q357" s="5"/>
      <c r="R357" s="5"/>
      <c r="S357" s="5"/>
      <c r="T357" s="5"/>
      <c r="U357" s="5"/>
      <c r="V357" s="5"/>
      <c r="W357" s="5"/>
      <c r="X357" s="6">
        <f t="shared" si="86"/>
        <v>0</v>
      </c>
      <c r="Z357" s="30">
        <f t="shared" si="91"/>
        <v>0</v>
      </c>
    </row>
    <row r="358" spans="6:26" ht="60" customHeight="1" x14ac:dyDescent="0.2">
      <c r="F358" s="50">
        <f t="shared" si="99"/>
        <v>41201</v>
      </c>
      <c r="G358" s="53" t="s">
        <v>220</v>
      </c>
      <c r="H358" s="52"/>
      <c r="I358" s="52">
        <v>10000</v>
      </c>
      <c r="J358" s="52"/>
      <c r="K358" s="52"/>
      <c r="L358" s="52"/>
      <c r="M358" s="59">
        <f>I358</f>
        <v>10000</v>
      </c>
      <c r="N358" s="52"/>
      <c r="O358" s="7">
        <f>SUM(K358:N358)</f>
        <v>10000</v>
      </c>
      <c r="P358" s="5"/>
      <c r="Q358" s="5"/>
      <c r="R358" s="5"/>
      <c r="S358" s="5"/>
      <c r="T358" s="5"/>
      <c r="U358" s="5"/>
      <c r="V358" s="5"/>
      <c r="W358" s="5">
        <f>V358+U358+T358+S358</f>
        <v>0</v>
      </c>
      <c r="X358" s="6">
        <f t="shared" si="86"/>
        <v>0</v>
      </c>
      <c r="Z358" s="30">
        <f t="shared" si="91"/>
        <v>0</v>
      </c>
    </row>
    <row r="359" spans="6:26" ht="60" customHeight="1" x14ac:dyDescent="0.2">
      <c r="F359" s="58"/>
      <c r="G359" s="56" t="s">
        <v>221</v>
      </c>
      <c r="H359" s="57">
        <f t="shared" ref="H359:W359" si="102">SUM(H358:H358)</f>
        <v>0</v>
      </c>
      <c r="I359" s="57">
        <f t="shared" si="102"/>
        <v>10000</v>
      </c>
      <c r="J359" s="57">
        <f t="shared" si="102"/>
        <v>0</v>
      </c>
      <c r="K359" s="57">
        <f t="shared" si="102"/>
        <v>0</v>
      </c>
      <c r="L359" s="57">
        <f t="shared" si="102"/>
        <v>0</v>
      </c>
      <c r="M359" s="57">
        <f t="shared" si="102"/>
        <v>10000</v>
      </c>
      <c r="N359" s="57">
        <f t="shared" si="102"/>
        <v>0</v>
      </c>
      <c r="O359" s="6">
        <f t="shared" si="102"/>
        <v>10000</v>
      </c>
      <c r="P359" s="6">
        <f t="shared" si="102"/>
        <v>0</v>
      </c>
      <c r="Q359" s="6">
        <f t="shared" si="102"/>
        <v>0</v>
      </c>
      <c r="R359" s="6">
        <f t="shared" si="102"/>
        <v>0</v>
      </c>
      <c r="S359" s="6">
        <f t="shared" si="102"/>
        <v>0</v>
      </c>
      <c r="T359" s="6">
        <f t="shared" si="102"/>
        <v>0</v>
      </c>
      <c r="U359" s="6">
        <f t="shared" si="102"/>
        <v>0</v>
      </c>
      <c r="V359" s="6">
        <f t="shared" si="102"/>
        <v>0</v>
      </c>
      <c r="W359" s="6">
        <f t="shared" si="102"/>
        <v>0</v>
      </c>
      <c r="X359" s="6">
        <f t="shared" si="86"/>
        <v>0</v>
      </c>
      <c r="Z359" s="30">
        <f t="shared" si="91"/>
        <v>0</v>
      </c>
    </row>
    <row r="360" spans="6:26" ht="60" customHeight="1" x14ac:dyDescent="0.2">
      <c r="F360" s="50">
        <v>41300</v>
      </c>
      <c r="G360" s="51" t="s">
        <v>222</v>
      </c>
      <c r="H360" s="52"/>
      <c r="I360" s="52"/>
      <c r="J360" s="52"/>
      <c r="K360" s="52"/>
      <c r="L360" s="52"/>
      <c r="M360" s="52"/>
      <c r="N360" s="52"/>
      <c r="O360" s="5"/>
      <c r="P360" s="5"/>
      <c r="Q360" s="5"/>
      <c r="R360" s="5"/>
      <c r="S360" s="5"/>
      <c r="T360" s="5"/>
      <c r="U360" s="5"/>
      <c r="V360" s="5"/>
      <c r="W360" s="5"/>
      <c r="X360" s="6">
        <f t="shared" si="86"/>
        <v>0</v>
      </c>
      <c r="Z360" s="30">
        <f t="shared" si="91"/>
        <v>0</v>
      </c>
    </row>
    <row r="361" spans="6:26" ht="60" customHeight="1" x14ac:dyDescent="0.2">
      <c r="F361" s="50">
        <f>+F360+1</f>
        <v>41301</v>
      </c>
      <c r="G361" s="53" t="s">
        <v>223</v>
      </c>
      <c r="H361" s="52">
        <f>6000000+2000000-I361</f>
        <v>4000000</v>
      </c>
      <c r="I361" s="52">
        <v>4000000</v>
      </c>
      <c r="J361" s="52">
        <f>I361*0.7</f>
        <v>2800000</v>
      </c>
      <c r="K361" s="52">
        <f>I361-J361</f>
        <v>1200000</v>
      </c>
      <c r="L361" s="52"/>
      <c r="M361" s="52"/>
      <c r="N361" s="52"/>
      <c r="O361" s="7">
        <f>SUM(K361:N361)</f>
        <v>1200000</v>
      </c>
      <c r="P361" s="5"/>
      <c r="Q361" s="5"/>
      <c r="R361" s="5"/>
      <c r="S361" s="5"/>
      <c r="T361" s="5"/>
      <c r="U361" s="5"/>
      <c r="V361" s="5"/>
      <c r="W361" s="5">
        <f>V361+U361+T361+S361</f>
        <v>0</v>
      </c>
      <c r="X361" s="6">
        <f t="shared" si="86"/>
        <v>0</v>
      </c>
      <c r="Z361" s="30">
        <f t="shared" si="91"/>
        <v>0</v>
      </c>
    </row>
    <row r="362" spans="6:26" ht="60" customHeight="1" x14ac:dyDescent="0.2">
      <c r="F362" s="50">
        <f>+F361+1</f>
        <v>41302</v>
      </c>
      <c r="G362" s="53" t="s">
        <v>224</v>
      </c>
      <c r="H362" s="52">
        <f>400000+400000+300000+100000-I362</f>
        <v>650000</v>
      </c>
      <c r="I362" s="52">
        <v>550000</v>
      </c>
      <c r="J362" s="52">
        <f>I362*0.7</f>
        <v>385000</v>
      </c>
      <c r="K362" s="52">
        <f>I362-J362</f>
        <v>165000</v>
      </c>
      <c r="L362" s="52"/>
      <c r="M362" s="52"/>
      <c r="N362" s="52"/>
      <c r="O362" s="7">
        <f>SUM(K362:N362)</f>
        <v>165000</v>
      </c>
      <c r="P362" s="5"/>
      <c r="Q362" s="5"/>
      <c r="R362" s="5"/>
      <c r="S362" s="5"/>
      <c r="T362" s="5"/>
      <c r="U362" s="5"/>
      <c r="V362" s="5"/>
      <c r="W362" s="5">
        <f>V362+U362+T362+S362</f>
        <v>0</v>
      </c>
      <c r="X362" s="6">
        <f t="shared" ref="X362:X411" si="103">Q362-R362-W362</f>
        <v>0</v>
      </c>
      <c r="Z362" s="30">
        <f t="shared" si="91"/>
        <v>0</v>
      </c>
    </row>
    <row r="363" spans="6:26" ht="60" customHeight="1" x14ac:dyDescent="0.2">
      <c r="F363" s="50">
        <f>+F362+1</f>
        <v>41303</v>
      </c>
      <c r="G363" s="53" t="s">
        <v>444</v>
      </c>
      <c r="H363" s="52"/>
      <c r="I363" s="52">
        <v>3000000</v>
      </c>
      <c r="J363" s="52">
        <f>I363*0.7</f>
        <v>2100000</v>
      </c>
      <c r="K363" s="52">
        <f>I363-J363</f>
        <v>900000</v>
      </c>
      <c r="L363" s="52"/>
      <c r="M363" s="52"/>
      <c r="N363" s="52"/>
      <c r="O363" s="7">
        <f>SUM(K363:N363)</f>
        <v>900000</v>
      </c>
      <c r="P363" s="5"/>
      <c r="Q363" s="5"/>
      <c r="R363" s="5"/>
      <c r="S363" s="5"/>
      <c r="T363" s="5"/>
      <c r="U363" s="5"/>
      <c r="V363" s="5"/>
      <c r="W363" s="5"/>
      <c r="X363" s="6"/>
      <c r="Z363" s="30">
        <f t="shared" si="91"/>
        <v>0</v>
      </c>
    </row>
    <row r="364" spans="6:26" ht="60" customHeight="1" x14ac:dyDescent="0.2">
      <c r="F364" s="58"/>
      <c r="G364" s="56" t="s">
        <v>225</v>
      </c>
      <c r="H364" s="57">
        <f t="shared" ref="H364:W364" si="104">SUM(H361:H363)</f>
        <v>4650000</v>
      </c>
      <c r="I364" s="57">
        <f t="shared" si="104"/>
        <v>7550000</v>
      </c>
      <c r="J364" s="57">
        <f t="shared" si="104"/>
        <v>5285000</v>
      </c>
      <c r="K364" s="57">
        <f t="shared" si="104"/>
        <v>2265000</v>
      </c>
      <c r="L364" s="57">
        <f t="shared" si="104"/>
        <v>0</v>
      </c>
      <c r="M364" s="57">
        <f t="shared" si="104"/>
        <v>0</v>
      </c>
      <c r="N364" s="57">
        <f t="shared" si="104"/>
        <v>0</v>
      </c>
      <c r="O364" s="6">
        <f t="shared" si="104"/>
        <v>2265000</v>
      </c>
      <c r="P364" s="6">
        <f t="shared" si="104"/>
        <v>0</v>
      </c>
      <c r="Q364" s="6">
        <f t="shared" si="104"/>
        <v>0</v>
      </c>
      <c r="R364" s="6">
        <f t="shared" si="104"/>
        <v>0</v>
      </c>
      <c r="S364" s="6">
        <f t="shared" si="104"/>
        <v>0</v>
      </c>
      <c r="T364" s="6">
        <f t="shared" si="104"/>
        <v>0</v>
      </c>
      <c r="U364" s="6">
        <f t="shared" si="104"/>
        <v>0</v>
      </c>
      <c r="V364" s="6">
        <f t="shared" si="104"/>
        <v>0</v>
      </c>
      <c r="W364" s="6">
        <f t="shared" si="104"/>
        <v>0</v>
      </c>
      <c r="X364" s="6">
        <f t="shared" si="103"/>
        <v>0</v>
      </c>
      <c r="Z364" s="30">
        <f t="shared" si="91"/>
        <v>0</v>
      </c>
    </row>
    <row r="365" spans="6:26" ht="60" customHeight="1" x14ac:dyDescent="0.2">
      <c r="F365" s="50">
        <v>41400</v>
      </c>
      <c r="G365" s="51" t="s">
        <v>226</v>
      </c>
      <c r="H365" s="57"/>
      <c r="I365" s="57"/>
      <c r="J365" s="57"/>
      <c r="K365" s="57"/>
      <c r="L365" s="57"/>
      <c r="M365" s="57"/>
      <c r="N365" s="57"/>
      <c r="O365" s="5"/>
      <c r="P365" s="6"/>
      <c r="Q365" s="6"/>
      <c r="R365" s="6"/>
      <c r="S365" s="6"/>
      <c r="T365" s="6"/>
      <c r="U365" s="6"/>
      <c r="V365" s="6"/>
      <c r="W365" s="5"/>
      <c r="X365" s="6">
        <f t="shared" si="103"/>
        <v>0</v>
      </c>
      <c r="Z365" s="30">
        <f t="shared" si="91"/>
        <v>0</v>
      </c>
    </row>
    <row r="366" spans="6:26" ht="60" customHeight="1" x14ac:dyDescent="0.2">
      <c r="F366" s="50">
        <f>F365+1</f>
        <v>41401</v>
      </c>
      <c r="G366" s="53" t="s">
        <v>349</v>
      </c>
      <c r="H366" s="52"/>
      <c r="I366" s="52">
        <v>30000</v>
      </c>
      <c r="J366" s="52"/>
      <c r="K366" s="52"/>
      <c r="L366" s="52"/>
      <c r="M366" s="52">
        <f>I366</f>
        <v>30000</v>
      </c>
      <c r="N366" s="52"/>
      <c r="O366" s="7">
        <f>SUM(K366:N366)</f>
        <v>30000</v>
      </c>
      <c r="P366" s="5"/>
      <c r="Q366" s="10"/>
      <c r="R366" s="6"/>
      <c r="S366" s="6"/>
      <c r="T366" s="6"/>
      <c r="U366" s="10"/>
      <c r="V366" s="6"/>
      <c r="W366" s="5">
        <f>V366+U366+T366+S366</f>
        <v>0</v>
      </c>
      <c r="X366" s="6">
        <f t="shared" si="103"/>
        <v>0</v>
      </c>
      <c r="Z366" s="30">
        <f t="shared" si="91"/>
        <v>0</v>
      </c>
    </row>
    <row r="367" spans="6:26" ht="60" customHeight="1" x14ac:dyDescent="0.2">
      <c r="F367" s="50">
        <f>F366+1</f>
        <v>41402</v>
      </c>
      <c r="G367" s="53" t="s">
        <v>350</v>
      </c>
      <c r="H367" s="52">
        <f>300000-I367</f>
        <v>115000</v>
      </c>
      <c r="I367" s="52">
        <v>185000</v>
      </c>
      <c r="J367" s="52"/>
      <c r="K367" s="52"/>
      <c r="L367" s="52"/>
      <c r="M367" s="52">
        <f>I367</f>
        <v>185000</v>
      </c>
      <c r="N367" s="52"/>
      <c r="O367" s="7">
        <f>SUM(K367:N367)</f>
        <v>185000</v>
      </c>
      <c r="P367" s="5"/>
      <c r="Q367" s="10"/>
      <c r="R367" s="6"/>
      <c r="S367" s="6"/>
      <c r="T367" s="6"/>
      <c r="U367" s="10"/>
      <c r="V367" s="6"/>
      <c r="W367" s="5">
        <f>V367+U367+T367+S367</f>
        <v>0</v>
      </c>
      <c r="X367" s="6"/>
      <c r="Z367" s="30">
        <f t="shared" si="91"/>
        <v>0</v>
      </c>
    </row>
    <row r="368" spans="6:26" ht="60" customHeight="1" x14ac:dyDescent="0.2">
      <c r="F368" s="50">
        <f>F367+1</f>
        <v>41403</v>
      </c>
      <c r="G368" s="53" t="s">
        <v>351</v>
      </c>
      <c r="H368" s="52"/>
      <c r="I368" s="52">
        <v>100000</v>
      </c>
      <c r="J368" s="52"/>
      <c r="K368" s="52"/>
      <c r="L368" s="52"/>
      <c r="M368" s="52">
        <f>I368</f>
        <v>100000</v>
      </c>
      <c r="N368" s="52"/>
      <c r="O368" s="7">
        <f>SUM(K368:N368)</f>
        <v>100000</v>
      </c>
      <c r="P368" s="5"/>
      <c r="Q368" s="10"/>
      <c r="R368" s="6"/>
      <c r="S368" s="6"/>
      <c r="T368" s="6"/>
      <c r="U368" s="10"/>
      <c r="V368" s="6"/>
      <c r="W368" s="5">
        <f>V368+U368+T368+S368</f>
        <v>0</v>
      </c>
      <c r="X368" s="6"/>
      <c r="Z368" s="30">
        <f t="shared" si="91"/>
        <v>0</v>
      </c>
    </row>
    <row r="369" spans="6:26" ht="60" customHeight="1" x14ac:dyDescent="0.2">
      <c r="F369" s="58"/>
      <c r="G369" s="56" t="s">
        <v>227</v>
      </c>
      <c r="H369" s="57">
        <f t="shared" ref="H369:W369" si="105">SUM(H366:H368)</f>
        <v>115000</v>
      </c>
      <c r="I369" s="57">
        <f t="shared" si="105"/>
        <v>315000</v>
      </c>
      <c r="J369" s="57">
        <f t="shared" si="105"/>
        <v>0</v>
      </c>
      <c r="K369" s="57">
        <f t="shared" si="105"/>
        <v>0</v>
      </c>
      <c r="L369" s="57">
        <f t="shared" si="105"/>
        <v>0</v>
      </c>
      <c r="M369" s="57">
        <f t="shared" si="105"/>
        <v>315000</v>
      </c>
      <c r="N369" s="57">
        <f t="shared" si="105"/>
        <v>0</v>
      </c>
      <c r="O369" s="6">
        <f t="shared" si="105"/>
        <v>315000</v>
      </c>
      <c r="P369" s="6">
        <f t="shared" si="105"/>
        <v>0</v>
      </c>
      <c r="Q369" s="6">
        <f t="shared" si="105"/>
        <v>0</v>
      </c>
      <c r="R369" s="6">
        <f t="shared" si="105"/>
        <v>0</v>
      </c>
      <c r="S369" s="6">
        <f t="shared" si="105"/>
        <v>0</v>
      </c>
      <c r="T369" s="6">
        <f t="shared" si="105"/>
        <v>0</v>
      </c>
      <c r="U369" s="6">
        <f t="shared" si="105"/>
        <v>0</v>
      </c>
      <c r="V369" s="6">
        <f t="shared" si="105"/>
        <v>0</v>
      </c>
      <c r="W369" s="6">
        <f t="shared" si="105"/>
        <v>0</v>
      </c>
      <c r="X369" s="6">
        <f t="shared" si="103"/>
        <v>0</v>
      </c>
      <c r="Y369" s="6">
        <f>SUM(Y366:Y368)</f>
        <v>0</v>
      </c>
      <c r="Z369" s="30">
        <f t="shared" si="91"/>
        <v>0</v>
      </c>
    </row>
    <row r="370" spans="6:26" ht="60" customHeight="1" x14ac:dyDescent="0.2">
      <c r="F370" s="55"/>
      <c r="G370" s="56" t="s">
        <v>228</v>
      </c>
      <c r="H370" s="57">
        <f t="shared" ref="H370:W370" si="106">H369+H364+H359+H356+H348+H334+H331+H318+H279+H266+H262+H231+H223+H192</f>
        <v>94170637</v>
      </c>
      <c r="I370" s="57">
        <f t="shared" si="106"/>
        <v>204810000</v>
      </c>
      <c r="J370" s="57">
        <f t="shared" si="106"/>
        <v>8795000</v>
      </c>
      <c r="K370" s="57">
        <f t="shared" si="106"/>
        <v>26370000</v>
      </c>
      <c r="L370" s="57">
        <f t="shared" si="106"/>
        <v>75810000</v>
      </c>
      <c r="M370" s="57">
        <f t="shared" si="106"/>
        <v>89585000</v>
      </c>
      <c r="N370" s="57">
        <f t="shared" si="106"/>
        <v>4250000</v>
      </c>
      <c r="O370" s="6">
        <f t="shared" si="106"/>
        <v>194115000</v>
      </c>
      <c r="P370" s="6">
        <f t="shared" si="106"/>
        <v>0</v>
      </c>
      <c r="Q370" s="6">
        <f t="shared" si="106"/>
        <v>52900000</v>
      </c>
      <c r="R370" s="6">
        <f t="shared" si="106"/>
        <v>0</v>
      </c>
      <c r="S370" s="6">
        <f t="shared" si="106"/>
        <v>0</v>
      </c>
      <c r="T370" s="6">
        <f t="shared" si="106"/>
        <v>0</v>
      </c>
      <c r="U370" s="6">
        <f t="shared" si="106"/>
        <v>52900000</v>
      </c>
      <c r="V370" s="6">
        <f t="shared" si="106"/>
        <v>0</v>
      </c>
      <c r="W370" s="6">
        <f t="shared" si="106"/>
        <v>52900000</v>
      </c>
      <c r="X370" s="6">
        <f t="shared" si="103"/>
        <v>0</v>
      </c>
      <c r="Z370" s="30">
        <f t="shared" si="91"/>
        <v>0</v>
      </c>
    </row>
    <row r="371" spans="6:26" ht="60" customHeight="1" x14ac:dyDescent="0.2">
      <c r="F371" s="50"/>
      <c r="G371" s="51" t="s">
        <v>229</v>
      </c>
      <c r="H371" s="52"/>
      <c r="I371" s="52"/>
      <c r="J371" s="52"/>
      <c r="K371" s="52"/>
      <c r="L371" s="52"/>
      <c r="M371" s="52"/>
      <c r="N371" s="52"/>
      <c r="O371" s="5"/>
      <c r="P371" s="5"/>
      <c r="Q371" s="5"/>
      <c r="R371" s="5"/>
      <c r="S371" s="5"/>
      <c r="T371" s="5"/>
      <c r="U371" s="5"/>
      <c r="V371" s="5"/>
      <c r="W371" s="5"/>
      <c r="X371" s="6">
        <f t="shared" si="103"/>
        <v>0</v>
      </c>
      <c r="Z371" s="30">
        <f t="shared" si="91"/>
        <v>0</v>
      </c>
    </row>
    <row r="372" spans="6:26" ht="60" customHeight="1" x14ac:dyDescent="0.2">
      <c r="F372" s="50">
        <v>50100</v>
      </c>
      <c r="G372" s="51" t="s">
        <v>230</v>
      </c>
      <c r="H372" s="52"/>
      <c r="I372" s="52"/>
      <c r="J372" s="52"/>
      <c r="K372" s="52"/>
      <c r="L372" s="52"/>
      <c r="M372" s="52"/>
      <c r="N372" s="52"/>
      <c r="O372" s="5"/>
      <c r="P372" s="5"/>
      <c r="Q372" s="5"/>
      <c r="R372" s="5"/>
      <c r="S372" s="5"/>
      <c r="T372" s="5"/>
      <c r="U372" s="5"/>
      <c r="V372" s="5"/>
      <c r="W372" s="5"/>
      <c r="X372" s="6">
        <f t="shared" si="103"/>
        <v>0</v>
      </c>
      <c r="Z372" s="30">
        <f t="shared" si="91"/>
        <v>0</v>
      </c>
    </row>
    <row r="373" spans="6:26" ht="60" customHeight="1" x14ac:dyDescent="0.2">
      <c r="F373" s="50">
        <f t="shared" ref="F373:F379" si="107">+F372+1</f>
        <v>50101</v>
      </c>
      <c r="G373" s="53" t="s">
        <v>231</v>
      </c>
      <c r="H373" s="52">
        <f>1800000-I373</f>
        <v>950000</v>
      </c>
      <c r="I373" s="52">
        <v>850000</v>
      </c>
      <c r="J373" s="52"/>
      <c r="K373" s="52"/>
      <c r="L373" s="52"/>
      <c r="M373" s="52"/>
      <c r="N373" s="52">
        <f>I373-M373</f>
        <v>850000</v>
      </c>
      <c r="O373" s="7">
        <f t="shared" ref="O373:O379" si="108">SUM(K373:N373)</f>
        <v>850000</v>
      </c>
      <c r="P373" s="5"/>
      <c r="Q373" s="5"/>
      <c r="R373" s="5"/>
      <c r="S373" s="5"/>
      <c r="T373" s="5"/>
      <c r="U373" s="5"/>
      <c r="V373" s="5"/>
      <c r="W373" s="5">
        <f t="shared" ref="W373:W378" si="109">V373+U373+T373+S373</f>
        <v>0</v>
      </c>
      <c r="X373" s="6">
        <f t="shared" si="103"/>
        <v>0</v>
      </c>
      <c r="Z373" s="30">
        <f t="shared" si="91"/>
        <v>0</v>
      </c>
    </row>
    <row r="374" spans="6:26" ht="60" customHeight="1" x14ac:dyDescent="0.2">
      <c r="F374" s="50">
        <f t="shared" si="107"/>
        <v>50102</v>
      </c>
      <c r="G374" s="53" t="s">
        <v>232</v>
      </c>
      <c r="H374" s="52"/>
      <c r="I374" s="52">
        <v>100000</v>
      </c>
      <c r="J374" s="52"/>
      <c r="K374" s="52"/>
      <c r="L374" s="52"/>
      <c r="M374" s="52"/>
      <c r="N374" s="52">
        <f>I374</f>
        <v>100000</v>
      </c>
      <c r="O374" s="7">
        <f t="shared" si="108"/>
        <v>100000</v>
      </c>
      <c r="P374" s="5"/>
      <c r="Q374" s="5"/>
      <c r="R374" s="5"/>
      <c r="S374" s="5"/>
      <c r="T374" s="5"/>
      <c r="U374" s="5"/>
      <c r="V374" s="5"/>
      <c r="W374" s="5">
        <f t="shared" si="109"/>
        <v>0</v>
      </c>
      <c r="X374" s="6">
        <f t="shared" si="103"/>
        <v>0</v>
      </c>
      <c r="Z374" s="30">
        <f t="shared" si="91"/>
        <v>0</v>
      </c>
    </row>
    <row r="375" spans="6:26" ht="60" customHeight="1" x14ac:dyDescent="0.2">
      <c r="F375" s="50">
        <f t="shared" si="107"/>
        <v>50103</v>
      </c>
      <c r="G375" s="53" t="s">
        <v>233</v>
      </c>
      <c r="H375" s="52">
        <v>1000000</v>
      </c>
      <c r="I375" s="52"/>
      <c r="J375" s="52"/>
      <c r="K375" s="52"/>
      <c r="L375" s="52"/>
      <c r="M375" s="52"/>
      <c r="N375" s="52"/>
      <c r="O375" s="7">
        <f t="shared" si="108"/>
        <v>0</v>
      </c>
      <c r="P375" s="5"/>
      <c r="Q375" s="5"/>
      <c r="R375" s="5"/>
      <c r="S375" s="5"/>
      <c r="T375" s="5"/>
      <c r="U375" s="5"/>
      <c r="V375" s="5"/>
      <c r="W375" s="5">
        <f t="shared" si="109"/>
        <v>0</v>
      </c>
      <c r="X375" s="6">
        <f t="shared" si="103"/>
        <v>0</v>
      </c>
      <c r="Z375" s="30">
        <f t="shared" si="91"/>
        <v>0</v>
      </c>
    </row>
    <row r="376" spans="6:26" ht="60" customHeight="1" x14ac:dyDescent="0.2">
      <c r="F376" s="50">
        <f t="shared" si="107"/>
        <v>50104</v>
      </c>
      <c r="G376" s="53" t="s">
        <v>357</v>
      </c>
      <c r="H376" s="52">
        <f>650000-I376</f>
        <v>325000</v>
      </c>
      <c r="I376" s="52">
        <v>325000</v>
      </c>
      <c r="J376" s="52"/>
      <c r="K376" s="52"/>
      <c r="L376" s="52"/>
      <c r="M376" s="52"/>
      <c r="N376" s="52">
        <f>I376</f>
        <v>325000</v>
      </c>
      <c r="O376" s="7">
        <f t="shared" si="108"/>
        <v>325000</v>
      </c>
      <c r="P376" s="5"/>
      <c r="Q376" s="5"/>
      <c r="R376" s="5"/>
      <c r="S376" s="5"/>
      <c r="T376" s="5"/>
      <c r="U376" s="5"/>
      <c r="V376" s="5"/>
      <c r="W376" s="5">
        <f t="shared" si="109"/>
        <v>0</v>
      </c>
      <c r="X376" s="6"/>
      <c r="Z376" s="30">
        <f t="shared" si="91"/>
        <v>0</v>
      </c>
    </row>
    <row r="377" spans="6:26" ht="60" customHeight="1" x14ac:dyDescent="0.2">
      <c r="F377" s="50">
        <f t="shared" si="107"/>
        <v>50105</v>
      </c>
      <c r="G377" s="53" t="s">
        <v>446</v>
      </c>
      <c r="H377" s="52">
        <v>200000</v>
      </c>
      <c r="I377" s="52"/>
      <c r="J377" s="52"/>
      <c r="K377" s="52"/>
      <c r="L377" s="52"/>
      <c r="M377" s="52"/>
      <c r="N377" s="52"/>
      <c r="O377" s="7">
        <f t="shared" si="108"/>
        <v>0</v>
      </c>
      <c r="P377" s="5"/>
      <c r="Q377" s="5"/>
      <c r="R377" s="5"/>
      <c r="S377" s="5"/>
      <c r="T377" s="5"/>
      <c r="U377" s="5"/>
      <c r="V377" s="5"/>
      <c r="W377" s="5">
        <f t="shared" si="109"/>
        <v>0</v>
      </c>
      <c r="X377" s="6"/>
      <c r="Z377" s="30">
        <f t="shared" si="91"/>
        <v>0</v>
      </c>
    </row>
    <row r="378" spans="6:26" ht="60" customHeight="1" x14ac:dyDescent="0.2">
      <c r="F378" s="50">
        <f t="shared" si="107"/>
        <v>50106</v>
      </c>
      <c r="G378" s="53" t="s">
        <v>234</v>
      </c>
      <c r="H378" s="52">
        <f>1400000-I378</f>
        <v>1200000</v>
      </c>
      <c r="I378" s="52">
        <v>200000</v>
      </c>
      <c r="J378" s="52"/>
      <c r="K378" s="52"/>
      <c r="L378" s="52"/>
      <c r="M378" s="52"/>
      <c r="N378" s="52">
        <f>I378</f>
        <v>200000</v>
      </c>
      <c r="O378" s="7">
        <f t="shared" si="108"/>
        <v>200000</v>
      </c>
      <c r="P378" s="5"/>
      <c r="Q378" s="5"/>
      <c r="R378" s="5"/>
      <c r="S378" s="5"/>
      <c r="T378" s="5"/>
      <c r="U378" s="5"/>
      <c r="V378" s="5"/>
      <c r="W378" s="5">
        <f t="shared" si="109"/>
        <v>0</v>
      </c>
      <c r="X378" s="6">
        <f>Q378-R378-W378</f>
        <v>0</v>
      </c>
      <c r="Z378" s="30">
        <f t="shared" si="91"/>
        <v>0</v>
      </c>
    </row>
    <row r="379" spans="6:26" ht="60" customHeight="1" x14ac:dyDescent="0.2">
      <c r="F379" s="50">
        <f t="shared" si="107"/>
        <v>50107</v>
      </c>
      <c r="G379" s="53" t="s">
        <v>447</v>
      </c>
      <c r="H379" s="52">
        <v>300000</v>
      </c>
      <c r="I379" s="52"/>
      <c r="J379" s="52"/>
      <c r="K379" s="52"/>
      <c r="L379" s="52"/>
      <c r="M379" s="52"/>
      <c r="N379" s="52"/>
      <c r="O379" s="7">
        <f t="shared" si="108"/>
        <v>0</v>
      </c>
      <c r="P379" s="5"/>
      <c r="Q379" s="5"/>
      <c r="R379" s="5"/>
      <c r="S379" s="5"/>
      <c r="T379" s="5"/>
      <c r="U379" s="5"/>
      <c r="V379" s="5"/>
      <c r="W379" s="5"/>
      <c r="X379" s="6"/>
      <c r="Z379" s="30">
        <f t="shared" si="91"/>
        <v>0</v>
      </c>
    </row>
    <row r="380" spans="6:26" ht="60" customHeight="1" x14ac:dyDescent="0.2">
      <c r="F380" s="58"/>
      <c r="G380" s="56" t="s">
        <v>235</v>
      </c>
      <c r="H380" s="57">
        <f t="shared" ref="H380:W380" si="110">SUM(H373:H379)</f>
        <v>3975000</v>
      </c>
      <c r="I380" s="57">
        <f t="shared" si="110"/>
        <v>1475000</v>
      </c>
      <c r="J380" s="57">
        <f t="shared" si="110"/>
        <v>0</v>
      </c>
      <c r="K380" s="57">
        <f t="shared" si="110"/>
        <v>0</v>
      </c>
      <c r="L380" s="57">
        <f t="shared" si="110"/>
        <v>0</v>
      </c>
      <c r="M380" s="57">
        <f t="shared" si="110"/>
        <v>0</v>
      </c>
      <c r="N380" s="57">
        <f t="shared" si="110"/>
        <v>1475000</v>
      </c>
      <c r="O380" s="6">
        <f t="shared" si="110"/>
        <v>1475000</v>
      </c>
      <c r="P380" s="6">
        <f t="shared" si="110"/>
        <v>0</v>
      </c>
      <c r="Q380" s="6">
        <f t="shared" si="110"/>
        <v>0</v>
      </c>
      <c r="R380" s="6">
        <f t="shared" si="110"/>
        <v>0</v>
      </c>
      <c r="S380" s="6">
        <f t="shared" si="110"/>
        <v>0</v>
      </c>
      <c r="T380" s="6">
        <f t="shared" si="110"/>
        <v>0</v>
      </c>
      <c r="U380" s="6">
        <f t="shared" si="110"/>
        <v>0</v>
      </c>
      <c r="V380" s="6">
        <f t="shared" si="110"/>
        <v>0</v>
      </c>
      <c r="W380" s="6">
        <f t="shared" si="110"/>
        <v>0</v>
      </c>
      <c r="X380" s="6">
        <f t="shared" si="103"/>
        <v>0</v>
      </c>
      <c r="Z380" s="30">
        <f t="shared" si="91"/>
        <v>0</v>
      </c>
    </row>
    <row r="381" spans="6:26" ht="60" customHeight="1" x14ac:dyDescent="0.2">
      <c r="F381" s="50">
        <v>50200</v>
      </c>
      <c r="G381" s="51" t="s">
        <v>236</v>
      </c>
      <c r="H381" s="52"/>
      <c r="I381" s="52"/>
      <c r="J381" s="52"/>
      <c r="K381" s="52"/>
      <c r="L381" s="52"/>
      <c r="M381" s="52"/>
      <c r="N381" s="52"/>
      <c r="O381" s="5"/>
      <c r="P381" s="5"/>
      <c r="Q381" s="5"/>
      <c r="R381" s="5"/>
      <c r="S381" s="5"/>
      <c r="T381" s="5"/>
      <c r="U381" s="5"/>
      <c r="V381" s="5"/>
      <c r="W381" s="5"/>
      <c r="X381" s="6">
        <f t="shared" si="103"/>
        <v>0</v>
      </c>
      <c r="Z381" s="30">
        <f t="shared" si="91"/>
        <v>0</v>
      </c>
    </row>
    <row r="382" spans="6:26" ht="60" customHeight="1" x14ac:dyDescent="0.2">
      <c r="F382" s="50">
        <f>+F381+1</f>
        <v>50201</v>
      </c>
      <c r="G382" s="53" t="s">
        <v>237</v>
      </c>
      <c r="H382" s="52"/>
      <c r="I382" s="52">
        <v>2200000</v>
      </c>
      <c r="J382" s="52"/>
      <c r="K382" s="52"/>
      <c r="L382" s="52"/>
      <c r="M382" s="52"/>
      <c r="N382" s="52">
        <f>I382-M382</f>
        <v>2200000</v>
      </c>
      <c r="O382" s="7">
        <f t="shared" ref="O382:O391" si="111">SUM(K382:N382)</f>
        <v>2200000</v>
      </c>
      <c r="P382" s="5"/>
      <c r="Q382" s="5"/>
      <c r="R382" s="5"/>
      <c r="S382" s="5"/>
      <c r="T382" s="5"/>
      <c r="U382" s="5"/>
      <c r="V382" s="5"/>
      <c r="W382" s="5">
        <f t="shared" ref="W382:W391" si="112">V382+U382+T382+S382</f>
        <v>0</v>
      </c>
      <c r="X382" s="6">
        <f t="shared" si="103"/>
        <v>0</v>
      </c>
      <c r="Z382" s="30">
        <f t="shared" si="91"/>
        <v>0</v>
      </c>
    </row>
    <row r="383" spans="6:26" ht="60" customHeight="1" x14ac:dyDescent="0.2">
      <c r="F383" s="50">
        <f t="shared" ref="F383:F391" si="113">+F382+1</f>
        <v>50202</v>
      </c>
      <c r="G383" s="53" t="s">
        <v>238</v>
      </c>
      <c r="H383" s="52">
        <f>10800000-I383</f>
        <v>10300000</v>
      </c>
      <c r="I383" s="52">
        <v>500000</v>
      </c>
      <c r="J383" s="52"/>
      <c r="K383" s="52"/>
      <c r="L383" s="52"/>
      <c r="M383" s="52">
        <f>I383</f>
        <v>500000</v>
      </c>
      <c r="N383" s="52"/>
      <c r="O383" s="7">
        <f t="shared" si="111"/>
        <v>500000</v>
      </c>
      <c r="P383" s="5"/>
      <c r="Q383" s="5"/>
      <c r="R383" s="5"/>
      <c r="S383" s="5"/>
      <c r="T383" s="5"/>
      <c r="U383" s="5"/>
      <c r="V383" s="5"/>
      <c r="W383" s="5">
        <f t="shared" si="112"/>
        <v>0</v>
      </c>
      <c r="X383" s="6">
        <f t="shared" si="103"/>
        <v>0</v>
      </c>
      <c r="Z383" s="30">
        <f t="shared" si="91"/>
        <v>0</v>
      </c>
    </row>
    <row r="384" spans="6:26" ht="60" customHeight="1" x14ac:dyDescent="0.2">
      <c r="F384" s="50">
        <f t="shared" si="113"/>
        <v>50203</v>
      </c>
      <c r="G384" s="53" t="s">
        <v>239</v>
      </c>
      <c r="H384" s="52">
        <f>2000000+800000+1200000</f>
        <v>4000000</v>
      </c>
      <c r="I384" s="52"/>
      <c r="J384" s="52"/>
      <c r="K384" s="52"/>
      <c r="L384" s="52"/>
      <c r="M384" s="52"/>
      <c r="N384" s="52"/>
      <c r="O384" s="7">
        <f t="shared" si="111"/>
        <v>0</v>
      </c>
      <c r="P384" s="5"/>
      <c r="Q384" s="5"/>
      <c r="R384" s="5"/>
      <c r="S384" s="5"/>
      <c r="T384" s="5"/>
      <c r="U384" s="5"/>
      <c r="V384" s="5"/>
      <c r="W384" s="5">
        <f t="shared" si="112"/>
        <v>0</v>
      </c>
      <c r="X384" s="6">
        <f t="shared" si="103"/>
        <v>0</v>
      </c>
      <c r="Z384" s="30">
        <f t="shared" si="91"/>
        <v>0</v>
      </c>
    </row>
    <row r="385" spans="6:26" ht="60" customHeight="1" x14ac:dyDescent="0.2">
      <c r="F385" s="50">
        <f t="shared" si="113"/>
        <v>50204</v>
      </c>
      <c r="G385" s="53" t="s">
        <v>240</v>
      </c>
      <c r="H385" s="52">
        <v>270000</v>
      </c>
      <c r="I385" s="52"/>
      <c r="J385" s="52"/>
      <c r="K385" s="52"/>
      <c r="L385" s="52"/>
      <c r="M385" s="52"/>
      <c r="N385" s="52"/>
      <c r="O385" s="7">
        <f t="shared" si="111"/>
        <v>0</v>
      </c>
      <c r="P385" s="5"/>
      <c r="Q385" s="5"/>
      <c r="R385" s="5"/>
      <c r="S385" s="5"/>
      <c r="T385" s="5"/>
      <c r="U385" s="5"/>
      <c r="V385" s="5"/>
      <c r="W385" s="5">
        <f t="shared" si="112"/>
        <v>0</v>
      </c>
      <c r="X385" s="6">
        <f t="shared" si="103"/>
        <v>0</v>
      </c>
      <c r="Z385" s="30">
        <f t="shared" si="91"/>
        <v>0</v>
      </c>
    </row>
    <row r="386" spans="6:26" ht="60" customHeight="1" x14ac:dyDescent="0.2">
      <c r="F386" s="50">
        <f t="shared" si="113"/>
        <v>50205</v>
      </c>
      <c r="G386" s="53" t="s">
        <v>241</v>
      </c>
      <c r="H386" s="52">
        <f>170000+150000</f>
        <v>320000</v>
      </c>
      <c r="I386" s="52"/>
      <c r="J386" s="52"/>
      <c r="K386" s="52"/>
      <c r="L386" s="52"/>
      <c r="M386" s="52"/>
      <c r="N386" s="52"/>
      <c r="O386" s="7">
        <f t="shared" si="111"/>
        <v>0</v>
      </c>
      <c r="P386" s="5"/>
      <c r="Q386" s="5"/>
      <c r="R386" s="5"/>
      <c r="S386" s="5"/>
      <c r="T386" s="5"/>
      <c r="U386" s="5"/>
      <c r="V386" s="5"/>
      <c r="W386" s="5">
        <f t="shared" si="112"/>
        <v>0</v>
      </c>
      <c r="X386" s="6">
        <f t="shared" si="103"/>
        <v>0</v>
      </c>
      <c r="Z386" s="30">
        <f t="shared" si="91"/>
        <v>0</v>
      </c>
    </row>
    <row r="387" spans="6:26" ht="60" customHeight="1" x14ac:dyDescent="0.2">
      <c r="F387" s="50">
        <f t="shared" si="113"/>
        <v>50206</v>
      </c>
      <c r="G387" s="53" t="s">
        <v>242</v>
      </c>
      <c r="H387" s="52">
        <f>1000000+70000-I387</f>
        <v>870000</v>
      </c>
      <c r="I387" s="52">
        <v>200000</v>
      </c>
      <c r="J387" s="52"/>
      <c r="K387" s="52"/>
      <c r="L387" s="52"/>
      <c r="M387" s="52"/>
      <c r="N387" s="52">
        <f>I387</f>
        <v>200000</v>
      </c>
      <c r="O387" s="7">
        <f t="shared" si="111"/>
        <v>200000</v>
      </c>
      <c r="P387" s="5"/>
      <c r="Q387" s="5"/>
      <c r="R387" s="5"/>
      <c r="S387" s="5"/>
      <c r="T387" s="5"/>
      <c r="U387" s="5"/>
      <c r="V387" s="5"/>
      <c r="W387" s="5">
        <f t="shared" si="112"/>
        <v>0</v>
      </c>
      <c r="X387" s="6">
        <f t="shared" si="103"/>
        <v>0</v>
      </c>
      <c r="Z387" s="30">
        <f t="shared" si="91"/>
        <v>0</v>
      </c>
    </row>
    <row r="388" spans="6:26" ht="60" customHeight="1" x14ac:dyDescent="0.2">
      <c r="F388" s="50">
        <f t="shared" si="113"/>
        <v>50207</v>
      </c>
      <c r="G388" s="53" t="s">
        <v>243</v>
      </c>
      <c r="H388" s="52">
        <f>125000-I388</f>
        <v>25000</v>
      </c>
      <c r="I388" s="52">
        <v>100000</v>
      </c>
      <c r="J388" s="52"/>
      <c r="K388" s="52"/>
      <c r="L388" s="52"/>
      <c r="M388" s="52">
        <f>I388</f>
        <v>100000</v>
      </c>
      <c r="N388" s="52"/>
      <c r="O388" s="7">
        <f t="shared" si="111"/>
        <v>100000</v>
      </c>
      <c r="P388" s="5"/>
      <c r="Q388" s="5"/>
      <c r="R388" s="5"/>
      <c r="S388" s="5"/>
      <c r="T388" s="5"/>
      <c r="U388" s="5"/>
      <c r="V388" s="5"/>
      <c r="W388" s="5">
        <f t="shared" si="112"/>
        <v>0</v>
      </c>
      <c r="X388" s="6">
        <f t="shared" si="103"/>
        <v>0</v>
      </c>
      <c r="Z388" s="30">
        <f t="shared" si="91"/>
        <v>0</v>
      </c>
    </row>
    <row r="389" spans="6:26" ht="60" customHeight="1" x14ac:dyDescent="0.2">
      <c r="F389" s="50">
        <f t="shared" si="113"/>
        <v>50208</v>
      </c>
      <c r="G389" s="53" t="s">
        <v>244</v>
      </c>
      <c r="H389" s="52">
        <v>300000</v>
      </c>
      <c r="I389" s="52"/>
      <c r="J389" s="52"/>
      <c r="K389" s="52"/>
      <c r="L389" s="52"/>
      <c r="M389" s="52"/>
      <c r="N389" s="52"/>
      <c r="O389" s="7">
        <f t="shared" si="111"/>
        <v>0</v>
      </c>
      <c r="P389" s="5"/>
      <c r="Q389" s="5"/>
      <c r="R389" s="5"/>
      <c r="S389" s="5"/>
      <c r="T389" s="5"/>
      <c r="U389" s="5"/>
      <c r="V389" s="5"/>
      <c r="W389" s="5">
        <f t="shared" si="112"/>
        <v>0</v>
      </c>
      <c r="X389" s="6">
        <f t="shared" si="103"/>
        <v>0</v>
      </c>
      <c r="Z389" s="30">
        <f t="shared" si="91"/>
        <v>0</v>
      </c>
    </row>
    <row r="390" spans="6:26" ht="60" customHeight="1" x14ac:dyDescent="0.2">
      <c r="F390" s="50">
        <f t="shared" si="113"/>
        <v>50209</v>
      </c>
      <c r="G390" s="53" t="s">
        <v>245</v>
      </c>
      <c r="H390" s="52">
        <f>1300000-I390</f>
        <v>670000</v>
      </c>
      <c r="I390" s="52">
        <v>630000</v>
      </c>
      <c r="J390" s="52"/>
      <c r="K390" s="52"/>
      <c r="L390" s="52"/>
      <c r="M390" s="52"/>
      <c r="N390" s="52">
        <f>I390</f>
        <v>630000</v>
      </c>
      <c r="O390" s="7">
        <f t="shared" si="111"/>
        <v>630000</v>
      </c>
      <c r="P390" s="5"/>
      <c r="Q390" s="5"/>
      <c r="R390" s="5"/>
      <c r="S390" s="5"/>
      <c r="T390" s="5"/>
      <c r="U390" s="5"/>
      <c r="V390" s="5"/>
      <c r="W390" s="5">
        <f t="shared" si="112"/>
        <v>0</v>
      </c>
      <c r="X390" s="6">
        <f t="shared" si="103"/>
        <v>0</v>
      </c>
      <c r="Z390" s="30">
        <f t="shared" si="91"/>
        <v>0</v>
      </c>
    </row>
    <row r="391" spans="6:26" ht="60" customHeight="1" x14ac:dyDescent="0.2">
      <c r="F391" s="50">
        <f t="shared" si="113"/>
        <v>50210</v>
      </c>
      <c r="G391" s="53" t="s">
        <v>246</v>
      </c>
      <c r="H391" s="52">
        <f>200000+150000</f>
        <v>350000</v>
      </c>
      <c r="I391" s="52"/>
      <c r="J391" s="52"/>
      <c r="K391" s="52"/>
      <c r="L391" s="52"/>
      <c r="M391" s="52"/>
      <c r="N391" s="52"/>
      <c r="O391" s="7">
        <f t="shared" si="111"/>
        <v>0</v>
      </c>
      <c r="P391" s="5"/>
      <c r="Q391" s="5"/>
      <c r="R391" s="5"/>
      <c r="S391" s="5"/>
      <c r="T391" s="5"/>
      <c r="U391" s="5"/>
      <c r="V391" s="5"/>
      <c r="W391" s="5">
        <f t="shared" si="112"/>
        <v>0</v>
      </c>
      <c r="X391" s="6">
        <f t="shared" si="103"/>
        <v>0</v>
      </c>
      <c r="Z391" s="30">
        <f t="shared" si="91"/>
        <v>0</v>
      </c>
    </row>
    <row r="392" spans="6:26" ht="60" customHeight="1" x14ac:dyDescent="0.2">
      <c r="F392" s="58"/>
      <c r="G392" s="56" t="s">
        <v>247</v>
      </c>
      <c r="H392" s="57">
        <f t="shared" ref="H392:W392" si="114">SUM(H382:H391)</f>
        <v>17105000</v>
      </c>
      <c r="I392" s="57">
        <f t="shared" si="114"/>
        <v>3630000</v>
      </c>
      <c r="J392" s="57">
        <f t="shared" si="114"/>
        <v>0</v>
      </c>
      <c r="K392" s="57">
        <f t="shared" si="114"/>
        <v>0</v>
      </c>
      <c r="L392" s="57">
        <f t="shared" si="114"/>
        <v>0</v>
      </c>
      <c r="M392" s="57">
        <f t="shared" si="114"/>
        <v>600000</v>
      </c>
      <c r="N392" s="57">
        <f t="shared" si="114"/>
        <v>3030000</v>
      </c>
      <c r="O392" s="6">
        <f t="shared" si="114"/>
        <v>3630000</v>
      </c>
      <c r="P392" s="6">
        <f t="shared" si="114"/>
        <v>0</v>
      </c>
      <c r="Q392" s="6">
        <f t="shared" si="114"/>
        <v>0</v>
      </c>
      <c r="R392" s="6">
        <f t="shared" si="114"/>
        <v>0</v>
      </c>
      <c r="S392" s="6">
        <f t="shared" si="114"/>
        <v>0</v>
      </c>
      <c r="T392" s="6">
        <f t="shared" si="114"/>
        <v>0</v>
      </c>
      <c r="U392" s="6">
        <f t="shared" si="114"/>
        <v>0</v>
      </c>
      <c r="V392" s="6">
        <f t="shared" si="114"/>
        <v>0</v>
      </c>
      <c r="W392" s="6">
        <f t="shared" si="114"/>
        <v>0</v>
      </c>
      <c r="X392" s="6">
        <f t="shared" si="103"/>
        <v>0</v>
      </c>
      <c r="Z392" s="30">
        <f t="shared" si="91"/>
        <v>0</v>
      </c>
    </row>
    <row r="393" spans="6:26" ht="60" customHeight="1" x14ac:dyDescent="0.2">
      <c r="F393" s="50">
        <v>50300</v>
      </c>
      <c r="G393" s="51" t="s">
        <v>248</v>
      </c>
      <c r="H393" s="52"/>
      <c r="I393" s="52"/>
      <c r="J393" s="52"/>
      <c r="K393" s="52"/>
      <c r="L393" s="52"/>
      <c r="M393" s="52"/>
      <c r="N393" s="52"/>
      <c r="O393" s="5"/>
      <c r="P393" s="5"/>
      <c r="Q393" s="5"/>
      <c r="R393" s="5"/>
      <c r="S393" s="5"/>
      <c r="T393" s="5"/>
      <c r="U393" s="5"/>
      <c r="V393" s="5"/>
      <c r="W393" s="5"/>
      <c r="X393" s="6">
        <f t="shared" si="103"/>
        <v>0</v>
      </c>
      <c r="Z393" s="30">
        <f t="shared" si="91"/>
        <v>0</v>
      </c>
    </row>
    <row r="394" spans="6:26" ht="60" customHeight="1" x14ac:dyDescent="0.2">
      <c r="F394" s="50">
        <f t="shared" ref="F394:F400" si="115">+F393+1</f>
        <v>50301</v>
      </c>
      <c r="G394" s="53" t="s">
        <v>249</v>
      </c>
      <c r="H394" s="52"/>
      <c r="I394" s="52">
        <v>625000</v>
      </c>
      <c r="J394" s="52"/>
      <c r="K394" s="52"/>
      <c r="L394" s="52"/>
      <c r="M394" s="52">
        <f>I394</f>
        <v>625000</v>
      </c>
      <c r="N394" s="52"/>
      <c r="O394" s="7">
        <f t="shared" ref="O394:O400" si="116">SUM(K394:N394)</f>
        <v>625000</v>
      </c>
      <c r="P394" s="5"/>
      <c r="Q394" s="5"/>
      <c r="R394" s="5"/>
      <c r="S394" s="5"/>
      <c r="T394" s="5"/>
      <c r="U394" s="5"/>
      <c r="V394" s="5"/>
      <c r="W394" s="5">
        <f t="shared" ref="W394:W400" si="117">V394+U394+T394+S394</f>
        <v>0</v>
      </c>
      <c r="X394" s="6">
        <f t="shared" si="103"/>
        <v>0</v>
      </c>
      <c r="Z394" s="30">
        <f t="shared" ref="Z394:Z459" si="118">I394-J394-SUM(K394:N394)</f>
        <v>0</v>
      </c>
    </row>
    <row r="395" spans="6:26" ht="60" customHeight="1" x14ac:dyDescent="0.2">
      <c r="F395" s="50">
        <f t="shared" si="115"/>
        <v>50302</v>
      </c>
      <c r="G395" s="53" t="s">
        <v>410</v>
      </c>
      <c r="H395" s="52"/>
      <c r="I395" s="52">
        <v>2500000</v>
      </c>
      <c r="J395" s="52">
        <v>2000000</v>
      </c>
      <c r="K395" s="52"/>
      <c r="L395" s="52"/>
      <c r="M395" s="52"/>
      <c r="N395" s="52">
        <f>I395-J395</f>
        <v>500000</v>
      </c>
      <c r="O395" s="7">
        <f t="shared" si="116"/>
        <v>500000</v>
      </c>
      <c r="P395" s="5"/>
      <c r="Q395" s="5"/>
      <c r="R395" s="5"/>
      <c r="S395" s="5"/>
      <c r="T395" s="5"/>
      <c r="U395" s="5"/>
      <c r="V395" s="5"/>
      <c r="W395" s="5">
        <f t="shared" si="117"/>
        <v>0</v>
      </c>
      <c r="X395" s="6">
        <f t="shared" si="103"/>
        <v>0</v>
      </c>
      <c r="Z395" s="30">
        <f t="shared" si="118"/>
        <v>0</v>
      </c>
    </row>
    <row r="396" spans="6:26" ht="60" customHeight="1" x14ac:dyDescent="0.2">
      <c r="F396" s="50">
        <f t="shared" si="115"/>
        <v>50303</v>
      </c>
      <c r="G396" s="53" t="s">
        <v>411</v>
      </c>
      <c r="H396" s="52">
        <v>750000</v>
      </c>
      <c r="I396" s="52"/>
      <c r="J396" s="52"/>
      <c r="K396" s="52"/>
      <c r="L396" s="52"/>
      <c r="M396" s="52"/>
      <c r="N396" s="52"/>
      <c r="O396" s="7">
        <f t="shared" si="116"/>
        <v>0</v>
      </c>
      <c r="P396" s="5"/>
      <c r="Q396" s="5"/>
      <c r="R396" s="5"/>
      <c r="S396" s="5"/>
      <c r="T396" s="5"/>
      <c r="U396" s="5"/>
      <c r="V396" s="5"/>
      <c r="W396" s="5"/>
      <c r="X396" s="6"/>
      <c r="Z396" s="30">
        <f t="shared" si="118"/>
        <v>0</v>
      </c>
    </row>
    <row r="397" spans="6:26" ht="60" customHeight="1" x14ac:dyDescent="0.2">
      <c r="F397" s="50">
        <f t="shared" si="115"/>
        <v>50304</v>
      </c>
      <c r="G397" s="53" t="s">
        <v>250</v>
      </c>
      <c r="H397" s="52"/>
      <c r="I397" s="52">
        <v>1000000</v>
      </c>
      <c r="J397" s="52"/>
      <c r="K397" s="52"/>
      <c r="L397" s="52"/>
      <c r="M397" s="52">
        <f>I397</f>
        <v>1000000</v>
      </c>
      <c r="N397" s="52"/>
      <c r="O397" s="7">
        <f t="shared" si="116"/>
        <v>1000000</v>
      </c>
      <c r="P397" s="5"/>
      <c r="Q397" s="5"/>
      <c r="R397" s="5"/>
      <c r="S397" s="5"/>
      <c r="T397" s="5"/>
      <c r="U397" s="5"/>
      <c r="V397" s="5"/>
      <c r="W397" s="5">
        <f t="shared" si="117"/>
        <v>0</v>
      </c>
      <c r="X397" s="6">
        <f t="shared" si="103"/>
        <v>0</v>
      </c>
      <c r="Z397" s="30">
        <f t="shared" si="118"/>
        <v>0</v>
      </c>
    </row>
    <row r="398" spans="6:26" ht="60" customHeight="1" x14ac:dyDescent="0.2">
      <c r="F398" s="50">
        <f t="shared" si="115"/>
        <v>50305</v>
      </c>
      <c r="G398" s="53" t="s">
        <v>251</v>
      </c>
      <c r="H398" s="52"/>
      <c r="I398" s="52">
        <f>3000000</f>
        <v>3000000</v>
      </c>
      <c r="J398" s="52">
        <f>1500000</f>
        <v>1500000</v>
      </c>
      <c r="K398" s="52">
        <f>I398-J398</f>
        <v>1500000</v>
      </c>
      <c r="L398" s="52"/>
      <c r="M398" s="52"/>
      <c r="N398" s="52"/>
      <c r="O398" s="7">
        <f t="shared" si="116"/>
        <v>1500000</v>
      </c>
      <c r="P398" s="5"/>
      <c r="Q398" s="5"/>
      <c r="R398" s="5"/>
      <c r="S398" s="5"/>
      <c r="T398" s="5"/>
      <c r="U398" s="5"/>
      <c r="V398" s="5"/>
      <c r="W398" s="5">
        <f t="shared" si="117"/>
        <v>0</v>
      </c>
      <c r="X398" s="6">
        <f t="shared" si="103"/>
        <v>0</v>
      </c>
      <c r="Z398" s="30">
        <f t="shared" si="118"/>
        <v>0</v>
      </c>
    </row>
    <row r="399" spans="6:26" ht="60" customHeight="1" x14ac:dyDescent="0.2">
      <c r="F399" s="50">
        <f t="shared" si="115"/>
        <v>50306</v>
      </c>
      <c r="G399" s="53" t="s">
        <v>371</v>
      </c>
      <c r="H399" s="52"/>
      <c r="I399" s="52">
        <v>605000</v>
      </c>
      <c r="J399" s="52"/>
      <c r="K399" s="52">
        <f>I399</f>
        <v>605000</v>
      </c>
      <c r="L399" s="52"/>
      <c r="M399" s="52"/>
      <c r="N399" s="52"/>
      <c r="O399" s="7">
        <f t="shared" si="116"/>
        <v>605000</v>
      </c>
      <c r="P399" s="5"/>
      <c r="Q399" s="5"/>
      <c r="R399" s="5"/>
      <c r="S399" s="5"/>
      <c r="T399" s="5"/>
      <c r="U399" s="5"/>
      <c r="V399" s="5"/>
      <c r="W399" s="5">
        <f t="shared" si="117"/>
        <v>0</v>
      </c>
      <c r="X399" s="6">
        <f t="shared" si="103"/>
        <v>0</v>
      </c>
      <c r="Z399" s="30">
        <f t="shared" si="118"/>
        <v>0</v>
      </c>
    </row>
    <row r="400" spans="6:26" ht="60" customHeight="1" x14ac:dyDescent="0.2">
      <c r="F400" s="50">
        <f t="shared" si="115"/>
        <v>50307</v>
      </c>
      <c r="G400" s="53" t="s">
        <v>359</v>
      </c>
      <c r="H400" s="52">
        <v>4636000</v>
      </c>
      <c r="I400" s="52"/>
      <c r="J400" s="52"/>
      <c r="K400" s="52"/>
      <c r="L400" s="52"/>
      <c r="M400" s="52"/>
      <c r="N400" s="52"/>
      <c r="O400" s="7">
        <f t="shared" si="116"/>
        <v>0</v>
      </c>
      <c r="P400" s="5"/>
      <c r="Q400" s="5"/>
      <c r="R400" s="5"/>
      <c r="S400" s="5"/>
      <c r="T400" s="5"/>
      <c r="U400" s="5"/>
      <c r="V400" s="5"/>
      <c r="W400" s="5">
        <f t="shared" si="117"/>
        <v>0</v>
      </c>
      <c r="X400" s="6"/>
      <c r="Z400" s="30">
        <f t="shared" si="118"/>
        <v>0</v>
      </c>
    </row>
    <row r="401" spans="6:26" ht="60" customHeight="1" x14ac:dyDescent="0.2">
      <c r="F401" s="58"/>
      <c r="G401" s="56" t="s">
        <v>252</v>
      </c>
      <c r="H401" s="57">
        <f t="shared" ref="H401:W401" si="119">SUM(H394:H400)</f>
        <v>5386000</v>
      </c>
      <c r="I401" s="57">
        <f t="shared" si="119"/>
        <v>7730000</v>
      </c>
      <c r="J401" s="57">
        <f t="shared" si="119"/>
        <v>3500000</v>
      </c>
      <c r="K401" s="57">
        <f t="shared" si="119"/>
        <v>2105000</v>
      </c>
      <c r="L401" s="57">
        <f t="shared" si="119"/>
        <v>0</v>
      </c>
      <c r="M401" s="57">
        <f t="shared" si="119"/>
        <v>1625000</v>
      </c>
      <c r="N401" s="57">
        <f t="shared" si="119"/>
        <v>500000</v>
      </c>
      <c r="O401" s="6">
        <f t="shared" si="119"/>
        <v>4230000</v>
      </c>
      <c r="P401" s="6">
        <f t="shared" si="119"/>
        <v>0</v>
      </c>
      <c r="Q401" s="6">
        <f t="shared" si="119"/>
        <v>0</v>
      </c>
      <c r="R401" s="6">
        <f t="shared" si="119"/>
        <v>0</v>
      </c>
      <c r="S401" s="6">
        <f t="shared" si="119"/>
        <v>0</v>
      </c>
      <c r="T401" s="6">
        <f t="shared" si="119"/>
        <v>0</v>
      </c>
      <c r="U401" s="6">
        <f t="shared" si="119"/>
        <v>0</v>
      </c>
      <c r="V401" s="6">
        <f t="shared" si="119"/>
        <v>0</v>
      </c>
      <c r="W401" s="6">
        <f t="shared" si="119"/>
        <v>0</v>
      </c>
      <c r="X401" s="6">
        <f t="shared" si="103"/>
        <v>0</v>
      </c>
      <c r="Z401" s="30">
        <f t="shared" si="118"/>
        <v>0</v>
      </c>
    </row>
    <row r="402" spans="6:26" ht="60" customHeight="1" x14ac:dyDescent="0.2">
      <c r="F402" s="55"/>
      <c r="G402" s="56" t="s">
        <v>253</v>
      </c>
      <c r="H402" s="57">
        <f t="shared" ref="H402:W402" si="120">H401+H392+H380</f>
        <v>26466000</v>
      </c>
      <c r="I402" s="57">
        <f t="shared" si="120"/>
        <v>12835000</v>
      </c>
      <c r="J402" s="57">
        <f t="shared" si="120"/>
        <v>3500000</v>
      </c>
      <c r="K402" s="57">
        <f t="shared" si="120"/>
        <v>2105000</v>
      </c>
      <c r="L402" s="57">
        <f t="shared" si="120"/>
        <v>0</v>
      </c>
      <c r="M402" s="57">
        <f t="shared" si="120"/>
        <v>2225000</v>
      </c>
      <c r="N402" s="57">
        <f t="shared" si="120"/>
        <v>5005000</v>
      </c>
      <c r="O402" s="6">
        <f t="shared" si="120"/>
        <v>9335000</v>
      </c>
      <c r="P402" s="6">
        <f t="shared" si="120"/>
        <v>0</v>
      </c>
      <c r="Q402" s="6">
        <f t="shared" si="120"/>
        <v>0</v>
      </c>
      <c r="R402" s="6">
        <f t="shared" si="120"/>
        <v>0</v>
      </c>
      <c r="S402" s="6">
        <f t="shared" si="120"/>
        <v>0</v>
      </c>
      <c r="T402" s="6">
        <f t="shared" si="120"/>
        <v>0</v>
      </c>
      <c r="U402" s="6">
        <f t="shared" si="120"/>
        <v>0</v>
      </c>
      <c r="V402" s="6">
        <f t="shared" si="120"/>
        <v>0</v>
      </c>
      <c r="W402" s="6">
        <f t="shared" si="120"/>
        <v>0</v>
      </c>
      <c r="X402" s="6">
        <f t="shared" si="103"/>
        <v>0</v>
      </c>
      <c r="Z402" s="30">
        <f t="shared" si="118"/>
        <v>0</v>
      </c>
    </row>
    <row r="403" spans="6:26" ht="60" customHeight="1" x14ac:dyDescent="0.2">
      <c r="F403" s="50">
        <v>60100</v>
      </c>
      <c r="G403" s="51" t="s">
        <v>254</v>
      </c>
      <c r="H403" s="52"/>
      <c r="I403" s="52"/>
      <c r="J403" s="52"/>
      <c r="K403" s="52"/>
      <c r="L403" s="52"/>
      <c r="M403" s="52"/>
      <c r="N403" s="52"/>
      <c r="O403" s="5"/>
      <c r="P403" s="5"/>
      <c r="Q403" s="5"/>
      <c r="R403" s="5"/>
      <c r="S403" s="5"/>
      <c r="T403" s="5"/>
      <c r="U403" s="5"/>
      <c r="V403" s="5"/>
      <c r="W403" s="5"/>
      <c r="X403" s="6">
        <f t="shared" si="103"/>
        <v>0</v>
      </c>
      <c r="Z403" s="30">
        <f t="shared" si="118"/>
        <v>0</v>
      </c>
    </row>
    <row r="404" spans="6:26" ht="60" customHeight="1" x14ac:dyDescent="0.2">
      <c r="F404" s="50">
        <f>+F403+1</f>
        <v>60101</v>
      </c>
      <c r="G404" s="53" t="s">
        <v>255</v>
      </c>
      <c r="H404" s="52">
        <f>650000-I404</f>
        <v>400000</v>
      </c>
      <c r="I404" s="52">
        <v>250000</v>
      </c>
      <c r="J404" s="52"/>
      <c r="K404" s="52"/>
      <c r="L404" s="52"/>
      <c r="M404" s="52">
        <f>I404</f>
        <v>250000</v>
      </c>
      <c r="N404" s="52"/>
      <c r="O404" s="7">
        <f>SUM(K404:N404)</f>
        <v>250000</v>
      </c>
      <c r="P404" s="5"/>
      <c r="Q404" s="5"/>
      <c r="R404" s="5"/>
      <c r="S404" s="5"/>
      <c r="T404" s="5"/>
      <c r="U404" s="5"/>
      <c r="V404" s="5"/>
      <c r="W404" s="5">
        <f>V404+U404+T404+S404</f>
        <v>0</v>
      </c>
      <c r="X404" s="6">
        <f t="shared" si="103"/>
        <v>0</v>
      </c>
      <c r="Z404" s="30">
        <f t="shared" si="118"/>
        <v>0</v>
      </c>
    </row>
    <row r="405" spans="6:26" ht="60" customHeight="1" x14ac:dyDescent="0.2">
      <c r="F405" s="50">
        <f>+F404+1</f>
        <v>60102</v>
      </c>
      <c r="G405" s="53" t="s">
        <v>256</v>
      </c>
      <c r="H405" s="52">
        <f>750000-I405</f>
        <v>100000</v>
      </c>
      <c r="I405" s="52">
        <v>650000</v>
      </c>
      <c r="J405" s="52"/>
      <c r="K405" s="52"/>
      <c r="L405" s="52"/>
      <c r="M405" s="52">
        <f>I405</f>
        <v>650000</v>
      </c>
      <c r="N405" s="52"/>
      <c r="O405" s="7">
        <f>SUM(K405:N405)</f>
        <v>650000</v>
      </c>
      <c r="P405" s="5"/>
      <c r="Q405" s="5"/>
      <c r="R405" s="5"/>
      <c r="S405" s="5"/>
      <c r="T405" s="5"/>
      <c r="U405" s="5"/>
      <c r="V405" s="5"/>
      <c r="W405" s="5">
        <f>V405+U405+T405+S405</f>
        <v>0</v>
      </c>
      <c r="X405" s="6">
        <f t="shared" si="103"/>
        <v>0</v>
      </c>
      <c r="Z405" s="30">
        <f t="shared" si="118"/>
        <v>0</v>
      </c>
    </row>
    <row r="406" spans="6:26" ht="60" customHeight="1" x14ac:dyDescent="0.2">
      <c r="F406" s="50">
        <f>+F405+1</f>
        <v>60103</v>
      </c>
      <c r="G406" s="53" t="s">
        <v>257</v>
      </c>
      <c r="H406" s="52">
        <f>850000-I406</f>
        <v>400000</v>
      </c>
      <c r="I406" s="52">
        <v>450000</v>
      </c>
      <c r="J406" s="52"/>
      <c r="K406" s="52"/>
      <c r="L406" s="52"/>
      <c r="M406" s="52">
        <f>I406</f>
        <v>450000</v>
      </c>
      <c r="N406" s="52"/>
      <c r="O406" s="7">
        <f>SUM(K406:N406)</f>
        <v>450000</v>
      </c>
      <c r="P406" s="5"/>
      <c r="Q406" s="5"/>
      <c r="R406" s="5"/>
      <c r="S406" s="5"/>
      <c r="T406" s="5"/>
      <c r="U406" s="5"/>
      <c r="V406" s="5"/>
      <c r="W406" s="5">
        <f>V406+U406+T406+S406</f>
        <v>0</v>
      </c>
      <c r="X406" s="6">
        <f t="shared" si="103"/>
        <v>0</v>
      </c>
      <c r="Z406" s="30">
        <f t="shared" si="118"/>
        <v>0</v>
      </c>
    </row>
    <row r="407" spans="6:26" ht="60" customHeight="1" x14ac:dyDescent="0.2">
      <c r="F407" s="55"/>
      <c r="G407" s="56" t="s">
        <v>258</v>
      </c>
      <c r="H407" s="57">
        <f t="shared" ref="H407:W407" si="121">SUM(H404:H406)</f>
        <v>900000</v>
      </c>
      <c r="I407" s="57">
        <f t="shared" si="121"/>
        <v>1350000</v>
      </c>
      <c r="J407" s="57">
        <f t="shared" si="121"/>
        <v>0</v>
      </c>
      <c r="K407" s="57">
        <f t="shared" si="121"/>
        <v>0</v>
      </c>
      <c r="L407" s="57">
        <f t="shared" si="121"/>
        <v>0</v>
      </c>
      <c r="M407" s="57">
        <f t="shared" si="121"/>
        <v>1350000</v>
      </c>
      <c r="N407" s="57">
        <f t="shared" si="121"/>
        <v>0</v>
      </c>
      <c r="O407" s="6">
        <f t="shared" si="121"/>
        <v>1350000</v>
      </c>
      <c r="P407" s="6">
        <f t="shared" si="121"/>
        <v>0</v>
      </c>
      <c r="Q407" s="6">
        <f t="shared" si="121"/>
        <v>0</v>
      </c>
      <c r="R407" s="6">
        <f t="shared" si="121"/>
        <v>0</v>
      </c>
      <c r="S407" s="6">
        <f t="shared" si="121"/>
        <v>0</v>
      </c>
      <c r="T407" s="6">
        <f t="shared" si="121"/>
        <v>0</v>
      </c>
      <c r="U407" s="6">
        <f t="shared" si="121"/>
        <v>0</v>
      </c>
      <c r="V407" s="6">
        <f t="shared" si="121"/>
        <v>0</v>
      </c>
      <c r="W407" s="6">
        <f t="shared" si="121"/>
        <v>0</v>
      </c>
      <c r="X407" s="6">
        <f t="shared" si="103"/>
        <v>0</v>
      </c>
      <c r="Z407" s="30">
        <f t="shared" si="118"/>
        <v>0</v>
      </c>
    </row>
    <row r="408" spans="6:26" ht="60" customHeight="1" x14ac:dyDescent="0.2">
      <c r="F408" s="50">
        <v>70100</v>
      </c>
      <c r="G408" s="51" t="s">
        <v>259</v>
      </c>
      <c r="H408" s="52"/>
      <c r="I408" s="52"/>
      <c r="J408" s="52"/>
      <c r="K408" s="52"/>
      <c r="L408" s="52"/>
      <c r="M408" s="52"/>
      <c r="N408" s="52"/>
      <c r="O408" s="5"/>
      <c r="P408" s="5"/>
      <c r="Q408" s="5"/>
      <c r="R408" s="5"/>
      <c r="S408" s="5"/>
      <c r="T408" s="5"/>
      <c r="U408" s="5"/>
      <c r="V408" s="5"/>
      <c r="W408" s="5"/>
      <c r="X408" s="6">
        <f t="shared" si="103"/>
        <v>0</v>
      </c>
      <c r="Z408" s="30">
        <f t="shared" si="118"/>
        <v>0</v>
      </c>
    </row>
    <row r="409" spans="6:26" ht="60" customHeight="1" x14ac:dyDescent="0.2">
      <c r="F409" s="50">
        <f>F408+1</f>
        <v>70101</v>
      </c>
      <c r="G409" s="53" t="s">
        <v>260</v>
      </c>
      <c r="H409" s="52"/>
      <c r="I409" s="52">
        <v>3000000</v>
      </c>
      <c r="J409" s="52"/>
      <c r="K409" s="52"/>
      <c r="L409" s="52"/>
      <c r="M409" s="52"/>
      <c r="N409" s="52">
        <f>I409</f>
        <v>3000000</v>
      </c>
      <c r="O409" s="7">
        <f t="shared" ref="O409:O422" si="122">SUM(K409:N409)</f>
        <v>3000000</v>
      </c>
      <c r="P409" s="5"/>
      <c r="Q409" s="5"/>
      <c r="R409" s="5"/>
      <c r="S409" s="5"/>
      <c r="T409" s="5"/>
      <c r="U409" s="5"/>
      <c r="V409" s="5"/>
      <c r="W409" s="5">
        <f t="shared" ref="W409:W422" si="123">V409+U409+T409+S409</f>
        <v>0</v>
      </c>
      <c r="X409" s="6">
        <f t="shared" si="103"/>
        <v>0</v>
      </c>
      <c r="Z409" s="30">
        <f t="shared" si="118"/>
        <v>0</v>
      </c>
    </row>
    <row r="410" spans="6:26" ht="60" customHeight="1" x14ac:dyDescent="0.2">
      <c r="F410" s="50">
        <f t="shared" ref="F410:F422" si="124">F409+1</f>
        <v>70102</v>
      </c>
      <c r="G410" s="53" t="s">
        <v>261</v>
      </c>
      <c r="H410" s="52"/>
      <c r="I410" s="52">
        <v>1500000</v>
      </c>
      <c r="J410" s="52">
        <f>I410</f>
        <v>1500000</v>
      </c>
      <c r="K410" s="52"/>
      <c r="L410" s="52"/>
      <c r="M410" s="52"/>
      <c r="N410" s="52"/>
      <c r="O410" s="7">
        <f t="shared" si="122"/>
        <v>0</v>
      </c>
      <c r="P410" s="5"/>
      <c r="Q410" s="5"/>
      <c r="R410" s="5"/>
      <c r="S410" s="5"/>
      <c r="T410" s="5"/>
      <c r="U410" s="5"/>
      <c r="V410" s="5"/>
      <c r="W410" s="5">
        <f t="shared" si="123"/>
        <v>0</v>
      </c>
      <c r="X410" s="6">
        <f t="shared" si="103"/>
        <v>0</v>
      </c>
      <c r="Z410" s="30">
        <f t="shared" si="118"/>
        <v>0</v>
      </c>
    </row>
    <row r="411" spans="6:26" ht="60" customHeight="1" x14ac:dyDescent="0.2">
      <c r="F411" s="50">
        <f t="shared" si="124"/>
        <v>70103</v>
      </c>
      <c r="G411" s="53" t="s">
        <v>262</v>
      </c>
      <c r="H411" s="52"/>
      <c r="I411" s="52">
        <v>200000</v>
      </c>
      <c r="J411" s="52"/>
      <c r="K411" s="52">
        <f>I411</f>
        <v>200000</v>
      </c>
      <c r="L411" s="52"/>
      <c r="M411" s="52"/>
      <c r="N411" s="52"/>
      <c r="O411" s="7">
        <f t="shared" si="122"/>
        <v>200000</v>
      </c>
      <c r="P411" s="5"/>
      <c r="Q411" s="5"/>
      <c r="R411" s="5"/>
      <c r="S411" s="5"/>
      <c r="T411" s="5"/>
      <c r="U411" s="5"/>
      <c r="V411" s="5"/>
      <c r="W411" s="5">
        <f t="shared" si="123"/>
        <v>0</v>
      </c>
      <c r="X411" s="6">
        <f t="shared" si="103"/>
        <v>0</v>
      </c>
      <c r="Z411" s="30">
        <f t="shared" si="118"/>
        <v>0</v>
      </c>
    </row>
    <row r="412" spans="6:26" ht="60" customHeight="1" x14ac:dyDescent="0.2">
      <c r="F412" s="50">
        <f t="shared" si="124"/>
        <v>70104</v>
      </c>
      <c r="G412" s="53" t="s">
        <v>263</v>
      </c>
      <c r="H412" s="52"/>
      <c r="I412" s="52">
        <v>150000</v>
      </c>
      <c r="J412" s="52"/>
      <c r="K412" s="52"/>
      <c r="L412" s="52"/>
      <c r="M412" s="52">
        <f>I412</f>
        <v>150000</v>
      </c>
      <c r="N412" s="52"/>
      <c r="O412" s="7">
        <f t="shared" si="122"/>
        <v>150000</v>
      </c>
      <c r="P412" s="5"/>
      <c r="Q412" s="5"/>
      <c r="R412" s="5"/>
      <c r="S412" s="5"/>
      <c r="T412" s="5"/>
      <c r="U412" s="5"/>
      <c r="V412" s="5"/>
      <c r="W412" s="5">
        <f t="shared" si="123"/>
        <v>0</v>
      </c>
      <c r="X412" s="6">
        <f t="shared" ref="X412:X443" si="125">Q412-R412-W412</f>
        <v>0</v>
      </c>
      <c r="Z412" s="30">
        <f t="shared" si="118"/>
        <v>0</v>
      </c>
    </row>
    <row r="413" spans="6:26" ht="60" customHeight="1" x14ac:dyDescent="0.2">
      <c r="F413" s="50">
        <f t="shared" si="124"/>
        <v>70105</v>
      </c>
      <c r="G413" s="53" t="s">
        <v>417</v>
      </c>
      <c r="H413" s="52">
        <f>180000+500000-I413</f>
        <v>480000</v>
      </c>
      <c r="I413" s="52">
        <v>200000</v>
      </c>
      <c r="J413" s="52"/>
      <c r="K413" s="52"/>
      <c r="L413" s="52"/>
      <c r="M413" s="52">
        <f>I413</f>
        <v>200000</v>
      </c>
      <c r="N413" s="52"/>
      <c r="O413" s="7">
        <f t="shared" si="122"/>
        <v>200000</v>
      </c>
      <c r="P413" s="5"/>
      <c r="Q413" s="5"/>
      <c r="R413" s="5"/>
      <c r="S413" s="5"/>
      <c r="T413" s="5"/>
      <c r="U413" s="5"/>
      <c r="V413" s="5"/>
      <c r="W413" s="5">
        <f t="shared" si="123"/>
        <v>0</v>
      </c>
      <c r="X413" s="6">
        <f t="shared" si="125"/>
        <v>0</v>
      </c>
      <c r="Z413" s="30">
        <f t="shared" si="118"/>
        <v>0</v>
      </c>
    </row>
    <row r="414" spans="6:26" ht="60" customHeight="1" x14ac:dyDescent="0.2">
      <c r="F414" s="50">
        <f t="shared" si="124"/>
        <v>70106</v>
      </c>
      <c r="G414" s="53" t="s">
        <v>315</v>
      </c>
      <c r="H414" s="52"/>
      <c r="I414" s="52">
        <v>240000</v>
      </c>
      <c r="J414" s="52"/>
      <c r="K414" s="52"/>
      <c r="L414" s="52"/>
      <c r="M414" s="52">
        <f>I414</f>
        <v>240000</v>
      </c>
      <c r="N414" s="52"/>
      <c r="O414" s="7">
        <f t="shared" si="122"/>
        <v>240000</v>
      </c>
      <c r="P414" s="5"/>
      <c r="Q414" s="5"/>
      <c r="R414" s="5"/>
      <c r="S414" s="5"/>
      <c r="T414" s="5"/>
      <c r="U414" s="5"/>
      <c r="V414" s="5"/>
      <c r="W414" s="5">
        <f t="shared" si="123"/>
        <v>0</v>
      </c>
      <c r="X414" s="6"/>
      <c r="Z414" s="30">
        <f t="shared" si="118"/>
        <v>0</v>
      </c>
    </row>
    <row r="415" spans="6:26" ht="60" customHeight="1" x14ac:dyDescent="0.2">
      <c r="F415" s="50">
        <f t="shared" si="124"/>
        <v>70107</v>
      </c>
      <c r="G415" s="53" t="s">
        <v>264</v>
      </c>
      <c r="H415" s="52">
        <f>500000-I415</f>
        <v>350000</v>
      </c>
      <c r="I415" s="52">
        <v>150000</v>
      </c>
      <c r="J415" s="52"/>
      <c r="K415" s="52"/>
      <c r="L415" s="52"/>
      <c r="M415" s="52">
        <f>I415/2</f>
        <v>75000</v>
      </c>
      <c r="N415" s="52">
        <f>I415-M415</f>
        <v>75000</v>
      </c>
      <c r="O415" s="7">
        <f t="shared" si="122"/>
        <v>150000</v>
      </c>
      <c r="P415" s="5"/>
      <c r="Q415" s="5"/>
      <c r="R415" s="5"/>
      <c r="S415" s="5"/>
      <c r="T415" s="5"/>
      <c r="U415" s="5"/>
      <c r="V415" s="5"/>
      <c r="W415" s="5">
        <f t="shared" si="123"/>
        <v>0</v>
      </c>
      <c r="X415" s="6">
        <f t="shared" si="125"/>
        <v>0</v>
      </c>
      <c r="Z415" s="30">
        <f t="shared" si="118"/>
        <v>0</v>
      </c>
    </row>
    <row r="416" spans="6:26" ht="60" customHeight="1" x14ac:dyDescent="0.2">
      <c r="F416" s="50">
        <f t="shared" si="124"/>
        <v>70108</v>
      </c>
      <c r="G416" s="53" t="s">
        <v>265</v>
      </c>
      <c r="H416" s="52"/>
      <c r="I416" s="52">
        <v>2000000</v>
      </c>
      <c r="J416" s="52"/>
      <c r="K416" s="52"/>
      <c r="L416" s="52"/>
      <c r="M416" s="52"/>
      <c r="N416" s="52">
        <f>I416</f>
        <v>2000000</v>
      </c>
      <c r="O416" s="7">
        <f t="shared" si="122"/>
        <v>2000000</v>
      </c>
      <c r="P416" s="5"/>
      <c r="Q416" s="5"/>
      <c r="R416" s="5"/>
      <c r="S416" s="5"/>
      <c r="T416" s="5"/>
      <c r="U416" s="5"/>
      <c r="V416" s="5"/>
      <c r="W416" s="5">
        <f t="shared" si="123"/>
        <v>0</v>
      </c>
      <c r="X416" s="6">
        <f t="shared" si="125"/>
        <v>0</v>
      </c>
      <c r="Z416" s="30">
        <f t="shared" si="118"/>
        <v>0</v>
      </c>
    </row>
    <row r="417" spans="6:26" ht="60" customHeight="1" x14ac:dyDescent="0.2">
      <c r="F417" s="50">
        <f t="shared" si="124"/>
        <v>70109</v>
      </c>
      <c r="G417" s="53" t="s">
        <v>354</v>
      </c>
      <c r="H417" s="52"/>
      <c r="I417" s="52">
        <v>2000000</v>
      </c>
      <c r="J417" s="52"/>
      <c r="K417" s="52"/>
      <c r="L417" s="52"/>
      <c r="M417" s="52">
        <f>I417</f>
        <v>2000000</v>
      </c>
      <c r="N417" s="52"/>
      <c r="O417" s="7">
        <f t="shared" si="122"/>
        <v>2000000</v>
      </c>
      <c r="P417" s="5"/>
      <c r="Q417" s="5"/>
      <c r="R417" s="5"/>
      <c r="S417" s="5"/>
      <c r="T417" s="5"/>
      <c r="U417" s="5"/>
      <c r="V417" s="5"/>
      <c r="W417" s="5">
        <f t="shared" si="123"/>
        <v>0</v>
      </c>
      <c r="X417" s="6"/>
      <c r="Z417" s="30">
        <f t="shared" si="118"/>
        <v>0</v>
      </c>
    </row>
    <row r="418" spans="6:26" ht="60" customHeight="1" x14ac:dyDescent="0.2">
      <c r="F418" s="50">
        <f t="shared" si="124"/>
        <v>70110</v>
      </c>
      <c r="G418" s="53" t="s">
        <v>355</v>
      </c>
      <c r="H418" s="52"/>
      <c r="I418" s="52">
        <v>2000000</v>
      </c>
      <c r="J418" s="52"/>
      <c r="K418" s="52"/>
      <c r="L418" s="52"/>
      <c r="M418" s="52"/>
      <c r="N418" s="52">
        <f>I418</f>
        <v>2000000</v>
      </c>
      <c r="O418" s="7">
        <f t="shared" si="122"/>
        <v>2000000</v>
      </c>
      <c r="P418" s="5"/>
      <c r="Q418" s="5"/>
      <c r="R418" s="5"/>
      <c r="S418" s="5"/>
      <c r="T418" s="5"/>
      <c r="U418" s="5"/>
      <c r="V418" s="5"/>
      <c r="W418" s="5">
        <f t="shared" si="123"/>
        <v>0</v>
      </c>
      <c r="X418" s="6"/>
      <c r="Z418" s="30">
        <f t="shared" si="118"/>
        <v>0</v>
      </c>
    </row>
    <row r="419" spans="6:26" ht="60" customHeight="1" x14ac:dyDescent="0.2">
      <c r="F419" s="50">
        <f t="shared" si="124"/>
        <v>70111</v>
      </c>
      <c r="G419" s="53" t="s">
        <v>471</v>
      </c>
      <c r="H419" s="52"/>
      <c r="I419" s="52">
        <v>300000</v>
      </c>
      <c r="J419" s="52"/>
      <c r="K419" s="52"/>
      <c r="L419" s="52"/>
      <c r="M419" s="52">
        <f>I419</f>
        <v>300000</v>
      </c>
      <c r="N419" s="52"/>
      <c r="O419" s="7"/>
      <c r="P419" s="5"/>
      <c r="Q419" s="5"/>
      <c r="R419" s="5"/>
      <c r="S419" s="5"/>
      <c r="T419" s="5"/>
      <c r="U419" s="5"/>
      <c r="V419" s="5"/>
      <c r="W419" s="5"/>
      <c r="X419" s="6"/>
      <c r="Z419" s="30">
        <f t="shared" si="118"/>
        <v>0</v>
      </c>
    </row>
    <row r="420" spans="6:26" ht="60" customHeight="1" x14ac:dyDescent="0.2">
      <c r="F420" s="50">
        <f t="shared" si="124"/>
        <v>70112</v>
      </c>
      <c r="G420" s="53" t="s">
        <v>472</v>
      </c>
      <c r="H420" s="52"/>
      <c r="I420" s="52">
        <v>500000</v>
      </c>
      <c r="J420" s="52"/>
      <c r="K420" s="52"/>
      <c r="L420" s="52"/>
      <c r="M420" s="52">
        <f>I420</f>
        <v>500000</v>
      </c>
      <c r="N420" s="52"/>
      <c r="O420" s="7"/>
      <c r="P420" s="5"/>
      <c r="Q420" s="5"/>
      <c r="R420" s="5"/>
      <c r="S420" s="5"/>
      <c r="T420" s="5"/>
      <c r="U420" s="5"/>
      <c r="V420" s="5"/>
      <c r="W420" s="5"/>
      <c r="X420" s="6"/>
      <c r="Z420" s="30">
        <f t="shared" si="118"/>
        <v>0</v>
      </c>
    </row>
    <row r="421" spans="6:26" ht="60" customHeight="1" x14ac:dyDescent="0.2">
      <c r="F421" s="50">
        <f t="shared" si="124"/>
        <v>70113</v>
      </c>
      <c r="G421" s="53" t="s">
        <v>456</v>
      </c>
      <c r="H421" s="52">
        <v>100000</v>
      </c>
      <c r="I421" s="52"/>
      <c r="J421" s="52"/>
      <c r="K421" s="52"/>
      <c r="L421" s="52"/>
      <c r="M421" s="52"/>
      <c r="N421" s="52"/>
      <c r="O421" s="7">
        <f>SUM(K421:N421)</f>
        <v>0</v>
      </c>
      <c r="P421" s="5"/>
      <c r="Q421" s="5"/>
      <c r="R421" s="5"/>
      <c r="S421" s="5"/>
      <c r="T421" s="5"/>
      <c r="U421" s="5"/>
      <c r="V421" s="5"/>
      <c r="W421" s="5"/>
      <c r="X421" s="6"/>
      <c r="Z421" s="30">
        <f t="shared" si="118"/>
        <v>0</v>
      </c>
    </row>
    <row r="422" spans="6:26" ht="60" customHeight="1" x14ac:dyDescent="0.2">
      <c r="F422" s="50">
        <f t="shared" si="124"/>
        <v>70114</v>
      </c>
      <c r="G422" s="53" t="s">
        <v>445</v>
      </c>
      <c r="H422" s="52">
        <v>270000</v>
      </c>
      <c r="I422" s="52"/>
      <c r="J422" s="52"/>
      <c r="K422" s="52"/>
      <c r="L422" s="52"/>
      <c r="M422" s="52"/>
      <c r="N422" s="52"/>
      <c r="O422" s="7">
        <f t="shared" si="122"/>
        <v>0</v>
      </c>
      <c r="P422" s="5"/>
      <c r="Q422" s="5"/>
      <c r="R422" s="5"/>
      <c r="S422" s="5"/>
      <c r="T422" s="5"/>
      <c r="U422" s="5"/>
      <c r="V422" s="5"/>
      <c r="W422" s="5">
        <f t="shared" si="123"/>
        <v>0</v>
      </c>
      <c r="X422" s="6">
        <f t="shared" si="125"/>
        <v>0</v>
      </c>
      <c r="Z422" s="30">
        <f t="shared" si="118"/>
        <v>0</v>
      </c>
    </row>
    <row r="423" spans="6:26" ht="60" customHeight="1" x14ac:dyDescent="0.2">
      <c r="F423" s="50"/>
      <c r="G423" s="56" t="s">
        <v>266</v>
      </c>
      <c r="H423" s="57">
        <f t="shared" ref="H423:W423" si="126">SUM(H409:H422)</f>
        <v>1200000</v>
      </c>
      <c r="I423" s="57">
        <f t="shared" si="126"/>
        <v>12240000</v>
      </c>
      <c r="J423" s="57">
        <f t="shared" si="126"/>
        <v>1500000</v>
      </c>
      <c r="K423" s="57">
        <f t="shared" si="126"/>
        <v>200000</v>
      </c>
      <c r="L423" s="57">
        <f t="shared" si="126"/>
        <v>0</v>
      </c>
      <c r="M423" s="57">
        <f t="shared" si="126"/>
        <v>3465000</v>
      </c>
      <c r="N423" s="57">
        <f t="shared" si="126"/>
        <v>7075000</v>
      </c>
      <c r="O423" s="6">
        <f t="shared" si="126"/>
        <v>9940000</v>
      </c>
      <c r="P423" s="6">
        <f t="shared" si="126"/>
        <v>0</v>
      </c>
      <c r="Q423" s="6">
        <f t="shared" si="126"/>
        <v>0</v>
      </c>
      <c r="R423" s="6">
        <f t="shared" si="126"/>
        <v>0</v>
      </c>
      <c r="S423" s="6">
        <f t="shared" si="126"/>
        <v>0</v>
      </c>
      <c r="T423" s="6">
        <f t="shared" si="126"/>
        <v>0</v>
      </c>
      <c r="U423" s="6">
        <f t="shared" si="126"/>
        <v>0</v>
      </c>
      <c r="V423" s="6">
        <f t="shared" si="126"/>
        <v>0</v>
      </c>
      <c r="W423" s="6">
        <f t="shared" si="126"/>
        <v>0</v>
      </c>
      <c r="X423" s="6">
        <f t="shared" si="125"/>
        <v>0</v>
      </c>
      <c r="Z423" s="30">
        <f t="shared" si="118"/>
        <v>0</v>
      </c>
    </row>
    <row r="424" spans="6:26" ht="60" customHeight="1" x14ac:dyDescent="0.2">
      <c r="F424" s="50"/>
      <c r="G424" s="51" t="s">
        <v>341</v>
      </c>
      <c r="H424" s="52"/>
      <c r="I424" s="52"/>
      <c r="J424" s="52"/>
      <c r="K424" s="52"/>
      <c r="L424" s="52"/>
      <c r="M424" s="52"/>
      <c r="N424" s="52"/>
      <c r="O424" s="5"/>
      <c r="P424" s="5"/>
      <c r="Q424" s="5"/>
      <c r="R424" s="5"/>
      <c r="S424" s="5"/>
      <c r="T424" s="5"/>
      <c r="U424" s="5"/>
      <c r="V424" s="5"/>
      <c r="W424" s="5"/>
      <c r="X424" s="6">
        <f t="shared" si="125"/>
        <v>0</v>
      </c>
      <c r="Z424" s="30">
        <f t="shared" si="118"/>
        <v>0</v>
      </c>
    </row>
    <row r="425" spans="6:26" ht="60" customHeight="1" x14ac:dyDescent="0.2">
      <c r="F425" s="50">
        <v>80100</v>
      </c>
      <c r="G425" s="51" t="s">
        <v>267</v>
      </c>
      <c r="H425" s="52"/>
      <c r="I425" s="52"/>
      <c r="J425" s="52"/>
      <c r="K425" s="52"/>
      <c r="L425" s="52"/>
      <c r="M425" s="52"/>
      <c r="N425" s="52"/>
      <c r="O425" s="5"/>
      <c r="P425" s="5"/>
      <c r="Q425" s="5"/>
      <c r="R425" s="5"/>
      <c r="S425" s="5"/>
      <c r="T425" s="5"/>
      <c r="U425" s="5"/>
      <c r="V425" s="5"/>
      <c r="W425" s="5"/>
      <c r="X425" s="6">
        <f t="shared" si="125"/>
        <v>0</v>
      </c>
      <c r="Z425" s="30">
        <f t="shared" si="118"/>
        <v>0</v>
      </c>
    </row>
    <row r="426" spans="6:26" ht="60" customHeight="1" x14ac:dyDescent="0.2">
      <c r="F426" s="50">
        <f t="shared" ref="F426:F440" si="127">+F425+1</f>
        <v>80101</v>
      </c>
      <c r="G426" s="53" t="s">
        <v>268</v>
      </c>
      <c r="H426" s="52"/>
      <c r="I426" s="52">
        <v>35000000</v>
      </c>
      <c r="J426" s="52">
        <f>I426*0.85</f>
        <v>29750000</v>
      </c>
      <c r="K426" s="52">
        <f>I426-J426</f>
        <v>5250000</v>
      </c>
      <c r="L426" s="52"/>
      <c r="M426" s="52"/>
      <c r="N426" s="52"/>
      <c r="O426" s="7">
        <f t="shared" ref="O426:O440" si="128">SUM(K426:N426)</f>
        <v>5250000</v>
      </c>
      <c r="P426" s="5"/>
      <c r="Q426" s="5"/>
      <c r="R426" s="5"/>
      <c r="S426" s="5"/>
      <c r="T426" s="5"/>
      <c r="U426" s="5"/>
      <c r="V426" s="5"/>
      <c r="W426" s="5">
        <f t="shared" ref="W426:W440" si="129">V426+U426+T426+S426</f>
        <v>0</v>
      </c>
      <c r="X426" s="6">
        <f t="shared" si="125"/>
        <v>0</v>
      </c>
      <c r="Z426" s="30">
        <f t="shared" si="118"/>
        <v>0</v>
      </c>
    </row>
    <row r="427" spans="6:26" ht="60" customHeight="1" x14ac:dyDescent="0.2">
      <c r="F427" s="50">
        <f t="shared" si="127"/>
        <v>80102</v>
      </c>
      <c r="G427" s="53" t="s">
        <v>269</v>
      </c>
      <c r="H427" s="52"/>
      <c r="I427" s="52">
        <v>1000000</v>
      </c>
      <c r="J427" s="52">
        <f>I427*0.7</f>
        <v>700000</v>
      </c>
      <c r="K427" s="52">
        <f>I427-J427</f>
        <v>300000</v>
      </c>
      <c r="L427" s="52"/>
      <c r="M427" s="52"/>
      <c r="N427" s="52"/>
      <c r="O427" s="7">
        <f t="shared" si="128"/>
        <v>300000</v>
      </c>
      <c r="P427" s="5"/>
      <c r="Q427" s="5"/>
      <c r="R427" s="5"/>
      <c r="S427" s="5"/>
      <c r="T427" s="5"/>
      <c r="U427" s="5"/>
      <c r="V427" s="5"/>
      <c r="W427" s="5">
        <f t="shared" si="129"/>
        <v>0</v>
      </c>
      <c r="X427" s="6">
        <f t="shared" si="125"/>
        <v>0</v>
      </c>
      <c r="Z427" s="30">
        <f t="shared" si="118"/>
        <v>0</v>
      </c>
    </row>
    <row r="428" spans="6:26" ht="60" customHeight="1" x14ac:dyDescent="0.2">
      <c r="F428" s="50">
        <f t="shared" si="127"/>
        <v>80103</v>
      </c>
      <c r="G428" s="53" t="s">
        <v>270</v>
      </c>
      <c r="H428" s="52"/>
      <c r="I428" s="52">
        <v>1000000</v>
      </c>
      <c r="J428" s="52">
        <f>I428*0.7</f>
        <v>700000</v>
      </c>
      <c r="K428" s="52">
        <f>I428-J428</f>
        <v>300000</v>
      </c>
      <c r="L428" s="52"/>
      <c r="M428" s="52"/>
      <c r="N428" s="52"/>
      <c r="O428" s="7">
        <f t="shared" si="128"/>
        <v>300000</v>
      </c>
      <c r="P428" s="5"/>
      <c r="Q428" s="5"/>
      <c r="R428" s="5"/>
      <c r="S428" s="5"/>
      <c r="T428" s="5"/>
      <c r="U428" s="5"/>
      <c r="V428" s="5"/>
      <c r="W428" s="5">
        <f t="shared" si="129"/>
        <v>0</v>
      </c>
      <c r="X428" s="6">
        <f t="shared" si="125"/>
        <v>0</v>
      </c>
      <c r="Z428" s="30">
        <f t="shared" si="118"/>
        <v>0</v>
      </c>
    </row>
    <row r="429" spans="6:26" ht="60" customHeight="1" x14ac:dyDescent="0.2">
      <c r="F429" s="50">
        <f t="shared" si="127"/>
        <v>80104</v>
      </c>
      <c r="G429" s="53" t="s">
        <v>271</v>
      </c>
      <c r="H429" s="52"/>
      <c r="I429" s="52">
        <v>1500000</v>
      </c>
      <c r="J429" s="52">
        <f>I429*0.85</f>
        <v>1275000</v>
      </c>
      <c r="K429" s="52">
        <f>I429-J429</f>
        <v>225000</v>
      </c>
      <c r="L429" s="52"/>
      <c r="M429" s="52"/>
      <c r="N429" s="52"/>
      <c r="O429" s="7">
        <f t="shared" si="128"/>
        <v>225000</v>
      </c>
      <c r="P429" s="5"/>
      <c r="Q429" s="5"/>
      <c r="R429" s="5"/>
      <c r="S429" s="5"/>
      <c r="T429" s="5"/>
      <c r="U429" s="5"/>
      <c r="V429" s="5"/>
      <c r="W429" s="5">
        <f t="shared" si="129"/>
        <v>0</v>
      </c>
      <c r="X429" s="6">
        <f t="shared" si="125"/>
        <v>0</v>
      </c>
      <c r="Z429" s="30">
        <f t="shared" si="118"/>
        <v>0</v>
      </c>
    </row>
    <row r="430" spans="6:26" ht="60" customHeight="1" x14ac:dyDescent="0.2">
      <c r="F430" s="50">
        <f t="shared" si="127"/>
        <v>80105</v>
      </c>
      <c r="G430" s="53" t="s">
        <v>272</v>
      </c>
      <c r="H430" s="52"/>
      <c r="I430" s="52">
        <v>500000</v>
      </c>
      <c r="J430" s="52">
        <f>I430*0.85</f>
        <v>425000</v>
      </c>
      <c r="K430" s="52">
        <f>I430-J430</f>
        <v>75000</v>
      </c>
      <c r="L430" s="52"/>
      <c r="M430" s="52"/>
      <c r="N430" s="52"/>
      <c r="O430" s="7">
        <f t="shared" si="128"/>
        <v>75000</v>
      </c>
      <c r="P430" s="5"/>
      <c r="Q430" s="5"/>
      <c r="R430" s="5"/>
      <c r="S430" s="5"/>
      <c r="T430" s="5"/>
      <c r="U430" s="5"/>
      <c r="V430" s="5"/>
      <c r="W430" s="5">
        <f t="shared" si="129"/>
        <v>0</v>
      </c>
      <c r="X430" s="6">
        <f t="shared" si="125"/>
        <v>0</v>
      </c>
      <c r="Z430" s="30">
        <f t="shared" si="118"/>
        <v>0</v>
      </c>
    </row>
    <row r="431" spans="6:26" ht="60" customHeight="1" x14ac:dyDescent="0.2">
      <c r="F431" s="50">
        <f t="shared" si="127"/>
        <v>80106</v>
      </c>
      <c r="G431" s="53" t="s">
        <v>299</v>
      </c>
      <c r="H431" s="52"/>
      <c r="I431" s="52">
        <v>57000000</v>
      </c>
      <c r="J431" s="52">
        <f>I431</f>
        <v>57000000</v>
      </c>
      <c r="K431" s="52"/>
      <c r="L431" s="52"/>
      <c r="M431" s="52"/>
      <c r="N431" s="52"/>
      <c r="O431" s="7">
        <f t="shared" si="128"/>
        <v>0</v>
      </c>
      <c r="P431" s="5"/>
      <c r="Q431" s="5"/>
      <c r="R431" s="5"/>
      <c r="S431" s="5"/>
      <c r="T431" s="5"/>
      <c r="U431" s="5"/>
      <c r="V431" s="5"/>
      <c r="W431" s="5">
        <f t="shared" si="129"/>
        <v>0</v>
      </c>
      <c r="X431" s="6">
        <f t="shared" si="125"/>
        <v>0</v>
      </c>
      <c r="Z431" s="30">
        <f t="shared" si="118"/>
        <v>0</v>
      </c>
    </row>
    <row r="432" spans="6:26" ht="60" customHeight="1" x14ac:dyDescent="0.2">
      <c r="F432" s="50">
        <f t="shared" si="127"/>
        <v>80107</v>
      </c>
      <c r="G432" s="53" t="s">
        <v>273</v>
      </c>
      <c r="H432" s="52"/>
      <c r="I432" s="52">
        <v>500000</v>
      </c>
      <c r="J432" s="52">
        <f>I432*0.85</f>
        <v>425000</v>
      </c>
      <c r="K432" s="52">
        <f>I432-J432</f>
        <v>75000</v>
      </c>
      <c r="L432" s="52"/>
      <c r="M432" s="52"/>
      <c r="N432" s="52"/>
      <c r="O432" s="7">
        <f t="shared" si="128"/>
        <v>75000</v>
      </c>
      <c r="P432" s="5"/>
      <c r="Q432" s="5"/>
      <c r="R432" s="5"/>
      <c r="S432" s="5"/>
      <c r="T432" s="5"/>
      <c r="U432" s="5"/>
      <c r="V432" s="5"/>
      <c r="W432" s="5">
        <f t="shared" si="129"/>
        <v>0</v>
      </c>
      <c r="X432" s="6">
        <f t="shared" si="125"/>
        <v>0</v>
      </c>
      <c r="Z432" s="30">
        <f t="shared" si="118"/>
        <v>0</v>
      </c>
    </row>
    <row r="433" spans="6:26" ht="60" customHeight="1" x14ac:dyDescent="0.2">
      <c r="F433" s="50">
        <f t="shared" si="127"/>
        <v>80108</v>
      </c>
      <c r="G433" s="53" t="s">
        <v>274</v>
      </c>
      <c r="H433" s="52"/>
      <c r="I433" s="52">
        <v>200000</v>
      </c>
      <c r="J433" s="52">
        <f>I433*0.7</f>
        <v>140000</v>
      </c>
      <c r="K433" s="52">
        <f>I433-J433</f>
        <v>60000</v>
      </c>
      <c r="L433" s="52"/>
      <c r="M433" s="52"/>
      <c r="N433" s="52"/>
      <c r="O433" s="7">
        <f t="shared" si="128"/>
        <v>60000</v>
      </c>
      <c r="P433" s="5"/>
      <c r="Q433" s="5"/>
      <c r="R433" s="5"/>
      <c r="S433" s="5"/>
      <c r="T433" s="5"/>
      <c r="U433" s="5"/>
      <c r="V433" s="5"/>
      <c r="W433" s="5">
        <f t="shared" si="129"/>
        <v>0</v>
      </c>
      <c r="X433" s="6">
        <f t="shared" si="125"/>
        <v>0</v>
      </c>
      <c r="Z433" s="30">
        <f t="shared" si="118"/>
        <v>0</v>
      </c>
    </row>
    <row r="434" spans="6:26" ht="60" customHeight="1" x14ac:dyDescent="0.2">
      <c r="F434" s="50">
        <f t="shared" si="127"/>
        <v>80109</v>
      </c>
      <c r="G434" s="53" t="s">
        <v>275</v>
      </c>
      <c r="H434" s="52"/>
      <c r="I434" s="52">
        <v>10000000</v>
      </c>
      <c r="J434" s="52">
        <f>I434</f>
        <v>10000000</v>
      </c>
      <c r="K434" s="52"/>
      <c r="L434" s="52"/>
      <c r="M434" s="52"/>
      <c r="N434" s="52"/>
      <c r="O434" s="7">
        <f t="shared" si="128"/>
        <v>0</v>
      </c>
      <c r="P434" s="5"/>
      <c r="Q434" s="5"/>
      <c r="R434" s="5"/>
      <c r="S434" s="5"/>
      <c r="T434" s="5"/>
      <c r="U434" s="5"/>
      <c r="V434" s="5"/>
      <c r="W434" s="5">
        <f t="shared" si="129"/>
        <v>0</v>
      </c>
      <c r="X434" s="6">
        <f t="shared" si="125"/>
        <v>0</v>
      </c>
      <c r="Z434" s="30">
        <f t="shared" si="118"/>
        <v>0</v>
      </c>
    </row>
    <row r="435" spans="6:26" ht="60" customHeight="1" x14ac:dyDescent="0.2">
      <c r="F435" s="50">
        <f t="shared" si="127"/>
        <v>80110</v>
      </c>
      <c r="G435" s="53" t="s">
        <v>276</v>
      </c>
      <c r="H435" s="52"/>
      <c r="I435" s="52">
        <v>11400000</v>
      </c>
      <c r="J435" s="52">
        <f>I435</f>
        <v>11400000</v>
      </c>
      <c r="K435" s="52"/>
      <c r="L435" s="52"/>
      <c r="M435" s="52"/>
      <c r="N435" s="52"/>
      <c r="O435" s="7">
        <f t="shared" si="128"/>
        <v>0</v>
      </c>
      <c r="P435" s="5"/>
      <c r="Q435" s="5"/>
      <c r="R435" s="5"/>
      <c r="S435" s="5"/>
      <c r="T435" s="5"/>
      <c r="U435" s="5"/>
      <c r="V435" s="5"/>
      <c r="W435" s="5">
        <f t="shared" si="129"/>
        <v>0</v>
      </c>
      <c r="X435" s="6">
        <f t="shared" si="125"/>
        <v>0</v>
      </c>
      <c r="Z435" s="30">
        <f t="shared" si="118"/>
        <v>0</v>
      </c>
    </row>
    <row r="436" spans="6:26" ht="60" customHeight="1" x14ac:dyDescent="0.2">
      <c r="F436" s="50">
        <f t="shared" si="127"/>
        <v>80111</v>
      </c>
      <c r="G436" s="53" t="s">
        <v>163</v>
      </c>
      <c r="H436" s="52"/>
      <c r="I436" s="52">
        <v>15700000</v>
      </c>
      <c r="J436" s="52">
        <f>I436</f>
        <v>15700000</v>
      </c>
      <c r="K436" s="52"/>
      <c r="L436" s="52"/>
      <c r="M436" s="52"/>
      <c r="N436" s="52"/>
      <c r="O436" s="7">
        <f t="shared" si="128"/>
        <v>0</v>
      </c>
      <c r="P436" s="5"/>
      <c r="Q436" s="5"/>
      <c r="R436" s="5"/>
      <c r="S436" s="5"/>
      <c r="T436" s="5"/>
      <c r="U436" s="5"/>
      <c r="V436" s="5"/>
      <c r="W436" s="5">
        <f t="shared" si="129"/>
        <v>0</v>
      </c>
      <c r="X436" s="6">
        <f t="shared" si="125"/>
        <v>0</v>
      </c>
      <c r="Z436" s="30">
        <f t="shared" si="118"/>
        <v>0</v>
      </c>
    </row>
    <row r="437" spans="6:26" ht="60" customHeight="1" x14ac:dyDescent="0.2">
      <c r="F437" s="50">
        <f t="shared" si="127"/>
        <v>80112</v>
      </c>
      <c r="G437" s="53" t="s">
        <v>297</v>
      </c>
      <c r="H437" s="52"/>
      <c r="I437" s="52">
        <v>241000000</v>
      </c>
      <c r="J437" s="52">
        <f>I437</f>
        <v>241000000</v>
      </c>
      <c r="K437" s="52"/>
      <c r="L437" s="52"/>
      <c r="M437" s="52"/>
      <c r="N437" s="52"/>
      <c r="O437" s="7">
        <f t="shared" si="128"/>
        <v>0</v>
      </c>
      <c r="P437" s="5"/>
      <c r="Q437" s="5"/>
      <c r="R437" s="5"/>
      <c r="S437" s="5"/>
      <c r="T437" s="5"/>
      <c r="U437" s="5"/>
      <c r="V437" s="5"/>
      <c r="W437" s="5">
        <f t="shared" si="129"/>
        <v>0</v>
      </c>
      <c r="X437" s="6">
        <f t="shared" si="125"/>
        <v>0</v>
      </c>
      <c r="Z437" s="30">
        <f t="shared" si="118"/>
        <v>0</v>
      </c>
    </row>
    <row r="438" spans="6:26" ht="60" customHeight="1" x14ac:dyDescent="0.2">
      <c r="F438" s="50">
        <f t="shared" si="127"/>
        <v>80113</v>
      </c>
      <c r="G438" s="53" t="s">
        <v>296</v>
      </c>
      <c r="H438" s="52"/>
      <c r="I438" s="52">
        <v>10000000</v>
      </c>
      <c r="J438" s="52">
        <f>I438*0.85</f>
        <v>8500000</v>
      </c>
      <c r="K438" s="52">
        <f>I438-J438</f>
        <v>1500000</v>
      </c>
      <c r="L438" s="52"/>
      <c r="M438" s="52"/>
      <c r="N438" s="52"/>
      <c r="O438" s="7">
        <f t="shared" si="128"/>
        <v>1500000</v>
      </c>
      <c r="P438" s="5"/>
      <c r="Q438" s="5"/>
      <c r="R438" s="5"/>
      <c r="S438" s="5"/>
      <c r="T438" s="5"/>
      <c r="U438" s="5"/>
      <c r="V438" s="5"/>
      <c r="W438" s="5">
        <f t="shared" si="129"/>
        <v>0</v>
      </c>
      <c r="X438" s="6">
        <f t="shared" si="125"/>
        <v>0</v>
      </c>
      <c r="Z438" s="30">
        <f t="shared" si="118"/>
        <v>0</v>
      </c>
    </row>
    <row r="439" spans="6:26" ht="60" customHeight="1" x14ac:dyDescent="0.2">
      <c r="F439" s="50">
        <f t="shared" si="127"/>
        <v>80114</v>
      </c>
      <c r="G439" s="53" t="s">
        <v>336</v>
      </c>
      <c r="H439" s="52"/>
      <c r="I439" s="52">
        <v>3000000</v>
      </c>
      <c r="J439" s="52">
        <f>I439*0.85</f>
        <v>2550000</v>
      </c>
      <c r="K439" s="52">
        <f>I439-J439</f>
        <v>450000</v>
      </c>
      <c r="L439" s="52"/>
      <c r="M439" s="52"/>
      <c r="N439" s="52"/>
      <c r="O439" s="7">
        <f t="shared" si="128"/>
        <v>450000</v>
      </c>
      <c r="P439" s="5"/>
      <c r="Q439" s="5"/>
      <c r="R439" s="5"/>
      <c r="S439" s="5"/>
      <c r="T439" s="5"/>
      <c r="U439" s="5"/>
      <c r="V439" s="5"/>
      <c r="W439" s="5">
        <f t="shared" si="129"/>
        <v>0</v>
      </c>
      <c r="X439" s="6">
        <f>Q439-R439-W439</f>
        <v>0</v>
      </c>
      <c r="Z439" s="30">
        <f t="shared" si="118"/>
        <v>0</v>
      </c>
    </row>
    <row r="440" spans="6:26" ht="60" customHeight="1" x14ac:dyDescent="0.2">
      <c r="F440" s="50">
        <f t="shared" si="127"/>
        <v>80115</v>
      </c>
      <c r="G440" s="53" t="s">
        <v>298</v>
      </c>
      <c r="H440" s="52"/>
      <c r="I440" s="52">
        <v>100000</v>
      </c>
      <c r="J440" s="52">
        <f>I440*0.7</f>
        <v>70000</v>
      </c>
      <c r="K440" s="52">
        <f>I440-J440</f>
        <v>30000</v>
      </c>
      <c r="L440" s="52"/>
      <c r="M440" s="52"/>
      <c r="N440" s="52"/>
      <c r="O440" s="7">
        <f t="shared" si="128"/>
        <v>30000</v>
      </c>
      <c r="P440" s="5"/>
      <c r="Q440" s="5"/>
      <c r="R440" s="5"/>
      <c r="S440" s="5"/>
      <c r="T440" s="5"/>
      <c r="U440" s="5"/>
      <c r="V440" s="5"/>
      <c r="W440" s="5">
        <f t="shared" si="129"/>
        <v>0</v>
      </c>
      <c r="X440" s="6">
        <f t="shared" si="125"/>
        <v>0</v>
      </c>
      <c r="Z440" s="30">
        <f t="shared" si="118"/>
        <v>0</v>
      </c>
    </row>
    <row r="441" spans="6:26" ht="60" customHeight="1" x14ac:dyDescent="0.2">
      <c r="F441" s="58"/>
      <c r="G441" s="56" t="s">
        <v>277</v>
      </c>
      <c r="H441" s="57">
        <f t="shared" ref="H441:W441" si="130">SUM(H426:H440)</f>
        <v>0</v>
      </c>
      <c r="I441" s="57">
        <f t="shared" si="130"/>
        <v>387900000</v>
      </c>
      <c r="J441" s="57">
        <f t="shared" si="130"/>
        <v>379635000</v>
      </c>
      <c r="K441" s="57">
        <f t="shared" si="130"/>
        <v>8265000</v>
      </c>
      <c r="L441" s="57">
        <f t="shared" si="130"/>
        <v>0</v>
      </c>
      <c r="M441" s="57">
        <f t="shared" si="130"/>
        <v>0</v>
      </c>
      <c r="N441" s="57">
        <f t="shared" si="130"/>
        <v>0</v>
      </c>
      <c r="O441" s="6">
        <f t="shared" si="130"/>
        <v>8265000</v>
      </c>
      <c r="P441" s="6">
        <f t="shared" si="130"/>
        <v>0</v>
      </c>
      <c r="Q441" s="6">
        <f t="shared" si="130"/>
        <v>0</v>
      </c>
      <c r="R441" s="6">
        <f t="shared" si="130"/>
        <v>0</v>
      </c>
      <c r="S441" s="6">
        <f t="shared" si="130"/>
        <v>0</v>
      </c>
      <c r="T441" s="6">
        <f t="shared" si="130"/>
        <v>0</v>
      </c>
      <c r="U441" s="6">
        <f t="shared" si="130"/>
        <v>0</v>
      </c>
      <c r="V441" s="6">
        <f t="shared" si="130"/>
        <v>0</v>
      </c>
      <c r="W441" s="6">
        <f t="shared" si="130"/>
        <v>0</v>
      </c>
      <c r="X441" s="6">
        <f t="shared" si="125"/>
        <v>0</v>
      </c>
      <c r="Z441" s="30">
        <f t="shared" si="118"/>
        <v>0</v>
      </c>
    </row>
    <row r="442" spans="6:26" ht="60" customHeight="1" x14ac:dyDescent="0.2">
      <c r="F442" s="50">
        <v>80200</v>
      </c>
      <c r="G442" s="51" t="s">
        <v>278</v>
      </c>
      <c r="H442" s="52"/>
      <c r="I442" s="52"/>
      <c r="J442" s="52"/>
      <c r="K442" s="52"/>
      <c r="L442" s="52"/>
      <c r="M442" s="52"/>
      <c r="N442" s="52"/>
      <c r="O442" s="5"/>
      <c r="P442" s="5"/>
      <c r="Q442" s="5"/>
      <c r="R442" s="5"/>
      <c r="S442" s="5"/>
      <c r="T442" s="5"/>
      <c r="U442" s="5"/>
      <c r="V442" s="5"/>
      <c r="W442" s="5"/>
      <c r="X442" s="6">
        <f t="shared" si="125"/>
        <v>0</v>
      </c>
      <c r="Z442" s="30">
        <f t="shared" si="118"/>
        <v>0</v>
      </c>
    </row>
    <row r="443" spans="6:26" ht="60" customHeight="1" x14ac:dyDescent="0.2">
      <c r="F443" s="50">
        <f>F442+1</f>
        <v>80201</v>
      </c>
      <c r="G443" s="53" t="s">
        <v>313</v>
      </c>
      <c r="H443" s="52"/>
      <c r="I443" s="52">
        <v>5840000</v>
      </c>
      <c r="J443" s="52">
        <v>1800000</v>
      </c>
      <c r="K443" s="52"/>
      <c r="L443" s="52"/>
      <c r="M443" s="52"/>
      <c r="N443" s="52">
        <f>+I443-J443</f>
        <v>4040000</v>
      </c>
      <c r="O443" s="7">
        <f t="shared" ref="O443:O448" si="131">SUM(K443:N443)</f>
        <v>4040000</v>
      </c>
      <c r="P443" s="5"/>
      <c r="Q443" s="5"/>
      <c r="R443" s="5"/>
      <c r="S443" s="5"/>
      <c r="T443" s="5"/>
      <c r="U443" s="5"/>
      <c r="V443" s="5"/>
      <c r="W443" s="5">
        <f>V443+U443+T443+S443</f>
        <v>0</v>
      </c>
      <c r="X443" s="6">
        <f t="shared" si="125"/>
        <v>0</v>
      </c>
      <c r="Z443" s="30">
        <f t="shared" si="118"/>
        <v>0</v>
      </c>
    </row>
    <row r="444" spans="6:26" ht="60" customHeight="1" x14ac:dyDescent="0.2">
      <c r="F444" s="50">
        <f>F443+1</f>
        <v>80202</v>
      </c>
      <c r="G444" s="53" t="s">
        <v>365</v>
      </c>
      <c r="H444" s="52"/>
      <c r="I444" s="52">
        <v>4500000</v>
      </c>
      <c r="J444" s="52">
        <f>+I444</f>
        <v>4500000</v>
      </c>
      <c r="K444" s="52"/>
      <c r="L444" s="52"/>
      <c r="M444" s="52"/>
      <c r="N444" s="52"/>
      <c r="O444" s="7">
        <f t="shared" si="131"/>
        <v>0</v>
      </c>
      <c r="P444" s="5"/>
      <c r="Q444" s="5"/>
      <c r="R444" s="5"/>
      <c r="S444" s="5"/>
      <c r="T444" s="5"/>
      <c r="U444" s="5"/>
      <c r="V444" s="5"/>
      <c r="W444" s="5"/>
      <c r="X444" s="6"/>
      <c r="Z444" s="30">
        <f t="shared" si="118"/>
        <v>0</v>
      </c>
    </row>
    <row r="445" spans="6:26" ht="60" customHeight="1" x14ac:dyDescent="0.2">
      <c r="F445" s="50">
        <f t="shared" ref="F445:F451" si="132">F444+1</f>
        <v>80203</v>
      </c>
      <c r="G445" s="53" t="s">
        <v>366</v>
      </c>
      <c r="H445" s="52"/>
      <c r="I445" s="52">
        <v>2000000</v>
      </c>
      <c r="J445" s="52">
        <f>+I445</f>
        <v>2000000</v>
      </c>
      <c r="K445" s="52"/>
      <c r="L445" s="52"/>
      <c r="M445" s="52"/>
      <c r="N445" s="52"/>
      <c r="O445" s="7">
        <f t="shared" si="131"/>
        <v>0</v>
      </c>
      <c r="P445" s="5"/>
      <c r="Q445" s="5"/>
      <c r="R445" s="5"/>
      <c r="S445" s="5"/>
      <c r="T445" s="5"/>
      <c r="U445" s="5"/>
      <c r="V445" s="5"/>
      <c r="W445" s="5"/>
      <c r="X445" s="6"/>
      <c r="Z445" s="30">
        <f t="shared" si="118"/>
        <v>0</v>
      </c>
    </row>
    <row r="446" spans="6:26" ht="60" customHeight="1" x14ac:dyDescent="0.2">
      <c r="F446" s="50">
        <f t="shared" si="132"/>
        <v>80204</v>
      </c>
      <c r="G446" s="53" t="s">
        <v>368</v>
      </c>
      <c r="H446" s="52"/>
      <c r="I446" s="52">
        <v>9000000</v>
      </c>
      <c r="J446" s="52">
        <f>+I446</f>
        <v>9000000</v>
      </c>
      <c r="K446" s="52"/>
      <c r="L446" s="52"/>
      <c r="M446" s="52"/>
      <c r="N446" s="52"/>
      <c r="O446" s="7">
        <f t="shared" si="131"/>
        <v>0</v>
      </c>
      <c r="P446" s="5"/>
      <c r="Q446" s="5"/>
      <c r="R446" s="5"/>
      <c r="S446" s="5"/>
      <c r="T446" s="5"/>
      <c r="U446" s="5"/>
      <c r="V446" s="5"/>
      <c r="W446" s="5"/>
      <c r="X446" s="6"/>
      <c r="Z446" s="30">
        <f t="shared" si="118"/>
        <v>0</v>
      </c>
    </row>
    <row r="447" spans="6:26" ht="60" customHeight="1" x14ac:dyDescent="0.2">
      <c r="F447" s="50">
        <f t="shared" si="132"/>
        <v>80205</v>
      </c>
      <c r="G447" s="53" t="s">
        <v>367</v>
      </c>
      <c r="H447" s="52"/>
      <c r="I447" s="52">
        <v>6000000</v>
      </c>
      <c r="J447" s="52">
        <f>+I447</f>
        <v>6000000</v>
      </c>
      <c r="K447" s="52"/>
      <c r="L447" s="52"/>
      <c r="M447" s="52"/>
      <c r="N447" s="52"/>
      <c r="O447" s="7">
        <f t="shared" si="131"/>
        <v>0</v>
      </c>
      <c r="P447" s="5"/>
      <c r="Q447" s="5"/>
      <c r="R447" s="5"/>
      <c r="S447" s="5"/>
      <c r="T447" s="5"/>
      <c r="U447" s="5"/>
      <c r="V447" s="5"/>
      <c r="W447" s="5"/>
      <c r="X447" s="6"/>
      <c r="Z447" s="30">
        <f t="shared" si="118"/>
        <v>0</v>
      </c>
    </row>
    <row r="448" spans="6:26" ht="60" customHeight="1" x14ac:dyDescent="0.2">
      <c r="F448" s="50">
        <f t="shared" si="132"/>
        <v>80206</v>
      </c>
      <c r="G448" s="53" t="s">
        <v>369</v>
      </c>
      <c r="H448" s="52"/>
      <c r="I448" s="52">
        <v>8000000</v>
      </c>
      <c r="J448" s="52">
        <f>+I448</f>
        <v>8000000</v>
      </c>
      <c r="K448" s="52"/>
      <c r="L448" s="52"/>
      <c r="M448" s="52"/>
      <c r="N448" s="52"/>
      <c r="O448" s="7">
        <f t="shared" si="131"/>
        <v>0</v>
      </c>
      <c r="P448" s="5"/>
      <c r="Q448" s="5"/>
      <c r="R448" s="5"/>
      <c r="S448" s="5"/>
      <c r="T448" s="5"/>
      <c r="U448" s="5"/>
      <c r="V448" s="5"/>
      <c r="W448" s="5"/>
      <c r="X448" s="6"/>
      <c r="Z448" s="30">
        <f t="shared" si="118"/>
        <v>0</v>
      </c>
    </row>
    <row r="449" spans="6:26" ht="60" customHeight="1" x14ac:dyDescent="0.2">
      <c r="F449" s="50">
        <f t="shared" si="132"/>
        <v>80207</v>
      </c>
      <c r="G449" s="53" t="s">
        <v>418</v>
      </c>
      <c r="H449" s="61"/>
      <c r="I449" s="52">
        <v>1800000</v>
      </c>
      <c r="J449" s="52">
        <v>1000000</v>
      </c>
      <c r="K449" s="52"/>
      <c r="L449" s="52"/>
      <c r="M449" s="52"/>
      <c r="N449" s="52">
        <v>800000</v>
      </c>
      <c r="O449" s="7">
        <f t="shared" ref="O449:O456" si="133">SUM(K449:N449)</f>
        <v>800000</v>
      </c>
      <c r="P449" s="5"/>
      <c r="Q449" s="5"/>
      <c r="R449" s="5"/>
      <c r="S449" s="5"/>
      <c r="T449" s="5"/>
      <c r="U449" s="5"/>
      <c r="V449" s="5"/>
      <c r="W449" s="5"/>
      <c r="X449" s="6"/>
      <c r="Z449" s="30">
        <f t="shared" si="118"/>
        <v>0</v>
      </c>
    </row>
    <row r="450" spans="6:26" ht="60" customHeight="1" x14ac:dyDescent="0.2">
      <c r="F450" s="50">
        <f t="shared" si="132"/>
        <v>80208</v>
      </c>
      <c r="G450" s="53" t="s">
        <v>419</v>
      </c>
      <c r="H450" s="61"/>
      <c r="I450" s="52">
        <v>1500000</v>
      </c>
      <c r="J450" s="52">
        <f>+I450</f>
        <v>1500000</v>
      </c>
      <c r="K450" s="52"/>
      <c r="L450" s="52"/>
      <c r="M450" s="52"/>
      <c r="N450" s="52"/>
      <c r="O450" s="7">
        <f t="shared" si="133"/>
        <v>0</v>
      </c>
      <c r="P450" s="5"/>
      <c r="Q450" s="5"/>
      <c r="R450" s="5"/>
      <c r="S450" s="5"/>
      <c r="T450" s="5"/>
      <c r="U450" s="5"/>
      <c r="V450" s="5"/>
      <c r="W450" s="5"/>
      <c r="X450" s="6"/>
      <c r="Z450" s="30">
        <f t="shared" si="118"/>
        <v>0</v>
      </c>
    </row>
    <row r="451" spans="6:26" ht="60" customHeight="1" x14ac:dyDescent="0.2">
      <c r="F451" s="50">
        <f t="shared" si="132"/>
        <v>80209</v>
      </c>
      <c r="G451" s="53" t="s">
        <v>279</v>
      </c>
      <c r="H451" s="61"/>
      <c r="I451" s="52">
        <v>5000000</v>
      </c>
      <c r="J451" s="52">
        <f>+I451</f>
        <v>5000000</v>
      </c>
      <c r="K451" s="52"/>
      <c r="L451" s="52"/>
      <c r="M451" s="52"/>
      <c r="N451" s="52"/>
      <c r="O451" s="7">
        <f t="shared" si="133"/>
        <v>0</v>
      </c>
      <c r="P451" s="5"/>
      <c r="Q451" s="5"/>
      <c r="R451" s="5"/>
      <c r="S451" s="5"/>
      <c r="T451" s="5"/>
      <c r="U451" s="5"/>
      <c r="V451" s="5"/>
      <c r="W451" s="5">
        <f>V451+U451+T451+S451</f>
        <v>0</v>
      </c>
      <c r="X451" s="6">
        <f t="shared" ref="X451:X471" si="134">Q451-R451-W451</f>
        <v>0</v>
      </c>
      <c r="Z451" s="30">
        <f t="shared" si="118"/>
        <v>0</v>
      </c>
    </row>
    <row r="452" spans="6:26" ht="60" customHeight="1" x14ac:dyDescent="0.2">
      <c r="F452" s="58"/>
      <c r="G452" s="56" t="s">
        <v>280</v>
      </c>
      <c r="H452" s="57">
        <f t="shared" ref="H452:N452" si="135">SUM(H443:H451)</f>
        <v>0</v>
      </c>
      <c r="I452" s="57">
        <f t="shared" si="135"/>
        <v>43640000</v>
      </c>
      <c r="J452" s="57">
        <f t="shared" si="135"/>
        <v>38800000</v>
      </c>
      <c r="K452" s="57">
        <f t="shared" si="135"/>
        <v>0</v>
      </c>
      <c r="L452" s="57">
        <f t="shared" si="135"/>
        <v>0</v>
      </c>
      <c r="M452" s="57">
        <f t="shared" si="135"/>
        <v>0</v>
      </c>
      <c r="N452" s="57">
        <f t="shared" si="135"/>
        <v>4840000</v>
      </c>
      <c r="O452" s="7">
        <f t="shared" si="133"/>
        <v>4840000</v>
      </c>
      <c r="P452" s="6">
        <f t="shared" ref="P452:W452" si="136">SUM(P443:P451)</f>
        <v>0</v>
      </c>
      <c r="Q452" s="6">
        <f t="shared" si="136"/>
        <v>0</v>
      </c>
      <c r="R452" s="6">
        <f t="shared" si="136"/>
        <v>0</v>
      </c>
      <c r="S452" s="6">
        <f t="shared" si="136"/>
        <v>0</v>
      </c>
      <c r="T452" s="6">
        <f t="shared" si="136"/>
        <v>0</v>
      </c>
      <c r="U452" s="6">
        <f t="shared" si="136"/>
        <v>0</v>
      </c>
      <c r="V452" s="6">
        <f t="shared" si="136"/>
        <v>0</v>
      </c>
      <c r="W452" s="6">
        <f t="shared" si="136"/>
        <v>0</v>
      </c>
      <c r="X452" s="6">
        <f t="shared" si="134"/>
        <v>0</v>
      </c>
      <c r="Z452" s="30">
        <f t="shared" si="118"/>
        <v>0</v>
      </c>
    </row>
    <row r="453" spans="6:26" ht="60" customHeight="1" x14ac:dyDescent="0.2">
      <c r="F453" s="50">
        <v>80300</v>
      </c>
      <c r="G453" s="51" t="s">
        <v>281</v>
      </c>
      <c r="H453" s="52"/>
      <c r="I453" s="52"/>
      <c r="J453" s="52"/>
      <c r="K453" s="52"/>
      <c r="L453" s="52"/>
      <c r="M453" s="52"/>
      <c r="N453" s="52"/>
      <c r="O453" s="7">
        <f t="shared" si="133"/>
        <v>0</v>
      </c>
      <c r="P453" s="5"/>
      <c r="Q453" s="5"/>
      <c r="R453" s="5"/>
      <c r="S453" s="5"/>
      <c r="T453" s="5"/>
      <c r="U453" s="5"/>
      <c r="V453" s="5"/>
      <c r="W453" s="5"/>
      <c r="X453" s="6">
        <f t="shared" si="134"/>
        <v>0</v>
      </c>
      <c r="Z453" s="30">
        <f t="shared" si="118"/>
        <v>0</v>
      </c>
    </row>
    <row r="454" spans="6:26" ht="60" customHeight="1" x14ac:dyDescent="0.2">
      <c r="F454" s="50">
        <f>F453+1</f>
        <v>80301</v>
      </c>
      <c r="G454" s="53" t="s">
        <v>431</v>
      </c>
      <c r="H454" s="52"/>
      <c r="I454" s="52">
        <v>1600000</v>
      </c>
      <c r="J454" s="52">
        <f>+I454</f>
        <v>1600000</v>
      </c>
      <c r="K454" s="52"/>
      <c r="L454" s="52"/>
      <c r="M454" s="52"/>
      <c r="N454" s="52"/>
      <c r="O454" s="7">
        <f t="shared" si="133"/>
        <v>0</v>
      </c>
      <c r="P454" s="5"/>
      <c r="Q454" s="5"/>
      <c r="R454" s="5"/>
      <c r="S454" s="5"/>
      <c r="T454" s="5"/>
      <c r="U454" s="5"/>
      <c r="V454" s="5"/>
      <c r="W454" s="5">
        <f t="shared" ref="W454:W467" si="137">V454+U454+T454+S454</f>
        <v>0</v>
      </c>
      <c r="X454" s="6">
        <f t="shared" si="134"/>
        <v>0</v>
      </c>
      <c r="Z454" s="30">
        <f t="shared" si="118"/>
        <v>0</v>
      </c>
    </row>
    <row r="455" spans="6:26" ht="60" customHeight="1" x14ac:dyDescent="0.2">
      <c r="F455" s="50">
        <f t="shared" ref="F455:F470" si="138">+F454+1</f>
        <v>80302</v>
      </c>
      <c r="G455" s="53" t="s">
        <v>432</v>
      </c>
      <c r="H455" s="52"/>
      <c r="I455" s="52">
        <v>60000</v>
      </c>
      <c r="J455" s="52">
        <f>+I455</f>
        <v>60000</v>
      </c>
      <c r="K455" s="52"/>
      <c r="L455" s="52"/>
      <c r="M455" s="52"/>
      <c r="N455" s="52"/>
      <c r="O455" s="7">
        <f t="shared" si="133"/>
        <v>0</v>
      </c>
      <c r="P455" s="5"/>
      <c r="Q455" s="5"/>
      <c r="R455" s="5"/>
      <c r="S455" s="5"/>
      <c r="T455" s="5"/>
      <c r="U455" s="5"/>
      <c r="V455" s="5"/>
      <c r="W455" s="5"/>
      <c r="X455" s="6"/>
      <c r="Z455" s="30">
        <f t="shared" si="118"/>
        <v>0</v>
      </c>
    </row>
    <row r="456" spans="6:26" ht="60" customHeight="1" x14ac:dyDescent="0.2">
      <c r="F456" s="50">
        <f t="shared" si="138"/>
        <v>80303</v>
      </c>
      <c r="G456" s="53" t="s">
        <v>420</v>
      </c>
      <c r="H456" s="52"/>
      <c r="I456" s="52">
        <v>1500000</v>
      </c>
      <c r="J456" s="52">
        <f>+I456</f>
        <v>1500000</v>
      </c>
      <c r="K456" s="52"/>
      <c r="L456" s="52"/>
      <c r="M456" s="52"/>
      <c r="N456" s="52"/>
      <c r="O456" s="7">
        <f t="shared" si="133"/>
        <v>0</v>
      </c>
      <c r="P456" s="5"/>
      <c r="Q456" s="5"/>
      <c r="R456" s="5"/>
      <c r="S456" s="5"/>
      <c r="T456" s="5"/>
      <c r="U456" s="5"/>
      <c r="V456" s="5"/>
      <c r="W456" s="5">
        <f t="shared" si="137"/>
        <v>0</v>
      </c>
      <c r="X456" s="6">
        <f t="shared" si="134"/>
        <v>0</v>
      </c>
      <c r="Z456" s="30">
        <f t="shared" si="118"/>
        <v>0</v>
      </c>
    </row>
    <row r="457" spans="6:26" ht="60" customHeight="1" x14ac:dyDescent="0.2">
      <c r="F457" s="50">
        <f t="shared" si="138"/>
        <v>80304</v>
      </c>
      <c r="G457" s="53" t="s">
        <v>428</v>
      </c>
      <c r="H457" s="52"/>
      <c r="I457" s="52">
        <v>5000000</v>
      </c>
      <c r="J457" s="52">
        <v>3000000</v>
      </c>
      <c r="K457" s="52"/>
      <c r="L457" s="52"/>
      <c r="M457" s="52"/>
      <c r="N457" s="52">
        <f>+I457-J457</f>
        <v>2000000</v>
      </c>
      <c r="O457" s="7">
        <f>SUM(K457:N457)</f>
        <v>2000000</v>
      </c>
      <c r="P457" s="5"/>
      <c r="Q457" s="5"/>
      <c r="R457" s="5"/>
      <c r="S457" s="5"/>
      <c r="T457" s="5"/>
      <c r="U457" s="5"/>
      <c r="V457" s="5"/>
      <c r="W457" s="5"/>
      <c r="X457" s="6"/>
      <c r="Z457" s="30">
        <f t="shared" si="118"/>
        <v>0</v>
      </c>
    </row>
    <row r="458" spans="6:26" ht="60" customHeight="1" x14ac:dyDescent="0.2">
      <c r="F458" s="50">
        <f t="shared" si="138"/>
        <v>80305</v>
      </c>
      <c r="G458" s="53" t="s">
        <v>430</v>
      </c>
      <c r="H458" s="52"/>
      <c r="I458" s="52">
        <v>1100000</v>
      </c>
      <c r="J458" s="52">
        <v>750000</v>
      </c>
      <c r="K458" s="52"/>
      <c r="L458" s="52"/>
      <c r="M458" s="52"/>
      <c r="N458" s="52">
        <f>+I458-J458</f>
        <v>350000</v>
      </c>
      <c r="O458" s="7">
        <f>SUM(K458:N458)</f>
        <v>350000</v>
      </c>
      <c r="P458" s="5"/>
      <c r="Q458" s="5"/>
      <c r="R458" s="5"/>
      <c r="S458" s="5"/>
      <c r="T458" s="5"/>
      <c r="U458" s="5"/>
      <c r="V458" s="5"/>
      <c r="W458" s="5"/>
      <c r="X458" s="6"/>
      <c r="Z458" s="30">
        <f t="shared" si="118"/>
        <v>0</v>
      </c>
    </row>
    <row r="459" spans="6:26" ht="60" customHeight="1" x14ac:dyDescent="0.2">
      <c r="F459" s="50">
        <f t="shared" si="138"/>
        <v>80306</v>
      </c>
      <c r="G459" s="53" t="s">
        <v>433</v>
      </c>
      <c r="H459" s="52"/>
      <c r="I459" s="52">
        <v>19000000</v>
      </c>
      <c r="J459" s="52">
        <f>I459</f>
        <v>19000000</v>
      </c>
      <c r="K459" s="52"/>
      <c r="L459" s="52"/>
      <c r="M459" s="52"/>
      <c r="N459" s="52"/>
      <c r="O459" s="7">
        <f t="shared" ref="O459:O470" si="139">SUM(K459:N459)</f>
        <v>0</v>
      </c>
      <c r="P459" s="5"/>
      <c r="Q459" s="5"/>
      <c r="R459" s="5"/>
      <c r="S459" s="5"/>
      <c r="T459" s="5"/>
      <c r="U459" s="5"/>
      <c r="V459" s="5"/>
      <c r="W459" s="5">
        <f t="shared" si="137"/>
        <v>0</v>
      </c>
      <c r="X459" s="6">
        <f t="shared" si="134"/>
        <v>0</v>
      </c>
      <c r="Z459" s="30">
        <f t="shared" si="118"/>
        <v>0</v>
      </c>
    </row>
    <row r="460" spans="6:26" ht="60" customHeight="1" x14ac:dyDescent="0.2">
      <c r="F460" s="50">
        <f t="shared" si="138"/>
        <v>80307</v>
      </c>
      <c r="G460" s="53" t="s">
        <v>427</v>
      </c>
      <c r="H460" s="52">
        <v>9000000</v>
      </c>
      <c r="I460" s="52"/>
      <c r="J460" s="52"/>
      <c r="K460" s="52"/>
      <c r="L460" s="52"/>
      <c r="M460" s="52"/>
      <c r="N460" s="52"/>
      <c r="O460" s="7">
        <f t="shared" si="139"/>
        <v>0</v>
      </c>
      <c r="P460" s="5"/>
      <c r="Q460" s="5"/>
      <c r="R460" s="5"/>
      <c r="S460" s="5"/>
      <c r="T460" s="5"/>
      <c r="U460" s="5"/>
      <c r="V460" s="5"/>
      <c r="W460" s="5">
        <f t="shared" si="137"/>
        <v>0</v>
      </c>
      <c r="X460" s="6">
        <f t="shared" si="134"/>
        <v>0</v>
      </c>
      <c r="Z460" s="30">
        <f t="shared" ref="Z460:Z482" si="140">I460-J460-SUM(K460:N460)</f>
        <v>0</v>
      </c>
    </row>
    <row r="461" spans="6:26" ht="60" customHeight="1" x14ac:dyDescent="0.2">
      <c r="F461" s="50">
        <f t="shared" si="138"/>
        <v>80308</v>
      </c>
      <c r="G461" s="53" t="s">
        <v>425</v>
      </c>
      <c r="H461" s="52">
        <v>8500000</v>
      </c>
      <c r="I461" s="52"/>
      <c r="J461" s="52"/>
      <c r="K461" s="52"/>
      <c r="L461" s="52"/>
      <c r="M461" s="52"/>
      <c r="N461" s="52"/>
      <c r="O461" s="7">
        <f t="shared" si="139"/>
        <v>0</v>
      </c>
      <c r="P461" s="5"/>
      <c r="Q461" s="5"/>
      <c r="R461" s="5"/>
      <c r="S461" s="5"/>
      <c r="T461" s="5"/>
      <c r="U461" s="5"/>
      <c r="V461" s="5"/>
      <c r="W461" s="5"/>
      <c r="X461" s="6"/>
      <c r="Z461" s="30">
        <f t="shared" si="140"/>
        <v>0</v>
      </c>
    </row>
    <row r="462" spans="6:26" ht="60" customHeight="1" x14ac:dyDescent="0.2">
      <c r="F462" s="50">
        <f t="shared" si="138"/>
        <v>80309</v>
      </c>
      <c r="G462" s="53" t="s">
        <v>429</v>
      </c>
      <c r="H462" s="52">
        <v>8000000</v>
      </c>
      <c r="I462" s="52"/>
      <c r="J462" s="52"/>
      <c r="K462" s="52"/>
      <c r="L462" s="52"/>
      <c r="M462" s="52"/>
      <c r="N462" s="52"/>
      <c r="O462" s="7">
        <f t="shared" si="139"/>
        <v>0</v>
      </c>
      <c r="P462" s="5"/>
      <c r="Q462" s="5"/>
      <c r="R462" s="5"/>
      <c r="S462" s="5"/>
      <c r="T462" s="5"/>
      <c r="U462" s="5"/>
      <c r="V462" s="5"/>
      <c r="W462" s="5">
        <f t="shared" si="137"/>
        <v>0</v>
      </c>
      <c r="X462" s="6">
        <f t="shared" si="134"/>
        <v>0</v>
      </c>
      <c r="Z462" s="30">
        <f t="shared" si="140"/>
        <v>0</v>
      </c>
    </row>
    <row r="463" spans="6:26" ht="60" customHeight="1" x14ac:dyDescent="0.2">
      <c r="F463" s="50">
        <f t="shared" si="138"/>
        <v>80310</v>
      </c>
      <c r="G463" s="53" t="s">
        <v>328</v>
      </c>
      <c r="H463" s="52"/>
      <c r="I463" s="52">
        <v>4000000</v>
      </c>
      <c r="J463" s="52">
        <f>+I463</f>
        <v>4000000</v>
      </c>
      <c r="K463" s="52"/>
      <c r="L463" s="52"/>
      <c r="M463" s="52"/>
      <c r="N463" s="52"/>
      <c r="O463" s="7">
        <f t="shared" si="139"/>
        <v>0</v>
      </c>
      <c r="P463" s="5"/>
      <c r="Q463" s="5"/>
      <c r="R463" s="5"/>
      <c r="S463" s="5"/>
      <c r="T463" s="5"/>
      <c r="U463" s="5"/>
      <c r="V463" s="5"/>
      <c r="W463" s="5">
        <f t="shared" si="137"/>
        <v>0</v>
      </c>
      <c r="X463" s="6">
        <f t="shared" si="134"/>
        <v>0</v>
      </c>
      <c r="Z463" s="30">
        <f t="shared" si="140"/>
        <v>0</v>
      </c>
    </row>
    <row r="464" spans="6:26" ht="60" customHeight="1" x14ac:dyDescent="0.2">
      <c r="F464" s="50">
        <f t="shared" si="138"/>
        <v>80311</v>
      </c>
      <c r="G464" s="53" t="s">
        <v>421</v>
      </c>
      <c r="H464" s="52"/>
      <c r="I464" s="52">
        <v>8500000</v>
      </c>
      <c r="J464" s="52">
        <f>I464</f>
        <v>8500000</v>
      </c>
      <c r="K464" s="52"/>
      <c r="L464" s="52"/>
      <c r="M464" s="52"/>
      <c r="N464" s="52"/>
      <c r="O464" s="7">
        <f t="shared" si="139"/>
        <v>0</v>
      </c>
      <c r="P464" s="5"/>
      <c r="Q464" s="5"/>
      <c r="R464" s="5"/>
      <c r="S464" s="5"/>
      <c r="T464" s="5"/>
      <c r="U464" s="5"/>
      <c r="V464" s="5"/>
      <c r="W464" s="5"/>
      <c r="X464" s="6"/>
      <c r="Z464" s="30">
        <f t="shared" si="140"/>
        <v>0</v>
      </c>
    </row>
    <row r="465" spans="6:26" ht="60" customHeight="1" x14ac:dyDescent="0.2">
      <c r="F465" s="50">
        <f t="shared" si="138"/>
        <v>80312</v>
      </c>
      <c r="G465" s="53" t="s">
        <v>422</v>
      </c>
      <c r="H465" s="52">
        <v>400000</v>
      </c>
      <c r="I465" s="52"/>
      <c r="J465" s="52"/>
      <c r="K465" s="52"/>
      <c r="L465" s="52"/>
      <c r="M465" s="52"/>
      <c r="N465" s="52"/>
      <c r="O465" s="7">
        <f t="shared" si="139"/>
        <v>0</v>
      </c>
      <c r="P465" s="5"/>
      <c r="Q465" s="5"/>
      <c r="R465" s="5"/>
      <c r="S465" s="5"/>
      <c r="T465" s="5"/>
      <c r="U465" s="5"/>
      <c r="V465" s="5"/>
      <c r="W465" s="5"/>
      <c r="X465" s="6"/>
      <c r="Z465" s="30">
        <f t="shared" si="140"/>
        <v>0</v>
      </c>
    </row>
    <row r="466" spans="6:26" ht="60" customHeight="1" x14ac:dyDescent="0.2">
      <c r="F466" s="50">
        <f t="shared" si="138"/>
        <v>80313</v>
      </c>
      <c r="G466" s="53" t="s">
        <v>448</v>
      </c>
      <c r="H466" s="52"/>
      <c r="I466" s="52">
        <v>16000000</v>
      </c>
      <c r="J466" s="52">
        <v>13500000</v>
      </c>
      <c r="K466" s="52"/>
      <c r="L466" s="52"/>
      <c r="M466" s="52"/>
      <c r="N466" s="52">
        <f>+I466-J466</f>
        <v>2500000</v>
      </c>
      <c r="O466" s="7">
        <f t="shared" si="139"/>
        <v>2500000</v>
      </c>
      <c r="P466" s="5"/>
      <c r="Q466" s="5"/>
      <c r="R466" s="5"/>
      <c r="S466" s="5"/>
      <c r="T466" s="5"/>
      <c r="U466" s="5"/>
      <c r="V466" s="5"/>
      <c r="W466" s="5">
        <f t="shared" si="137"/>
        <v>0</v>
      </c>
      <c r="X466" s="6">
        <f t="shared" si="134"/>
        <v>0</v>
      </c>
      <c r="Z466" s="30">
        <f t="shared" si="140"/>
        <v>0</v>
      </c>
    </row>
    <row r="467" spans="6:26" ht="60" customHeight="1" x14ac:dyDescent="0.2">
      <c r="F467" s="50">
        <f t="shared" si="138"/>
        <v>80314</v>
      </c>
      <c r="G467" s="53" t="s">
        <v>329</v>
      </c>
      <c r="H467" s="52"/>
      <c r="I467" s="52">
        <v>2840000</v>
      </c>
      <c r="J467" s="52">
        <v>1500000</v>
      </c>
      <c r="K467" s="52"/>
      <c r="L467" s="52"/>
      <c r="M467" s="52"/>
      <c r="N467" s="52">
        <f>+I467-J467</f>
        <v>1340000</v>
      </c>
      <c r="O467" s="7">
        <f t="shared" si="139"/>
        <v>1340000</v>
      </c>
      <c r="P467" s="5"/>
      <c r="Q467" s="5"/>
      <c r="R467" s="5"/>
      <c r="S467" s="5"/>
      <c r="T467" s="5"/>
      <c r="U467" s="5"/>
      <c r="V467" s="5"/>
      <c r="W467" s="5">
        <f t="shared" si="137"/>
        <v>0</v>
      </c>
      <c r="X467" s="6"/>
      <c r="Z467" s="30">
        <f t="shared" si="140"/>
        <v>0</v>
      </c>
    </row>
    <row r="468" spans="6:26" ht="60" customHeight="1" x14ac:dyDescent="0.2">
      <c r="F468" s="50">
        <f t="shared" si="138"/>
        <v>80315</v>
      </c>
      <c r="G468" s="53" t="s">
        <v>423</v>
      </c>
      <c r="H468" s="52"/>
      <c r="I468" s="52">
        <v>500000</v>
      </c>
      <c r="J468" s="52"/>
      <c r="K468" s="52"/>
      <c r="L468" s="52"/>
      <c r="M468" s="52"/>
      <c r="N468" s="52">
        <f>+I468</f>
        <v>500000</v>
      </c>
      <c r="O468" s="7">
        <f t="shared" si="139"/>
        <v>500000</v>
      </c>
      <c r="P468" s="5"/>
      <c r="Q468" s="5"/>
      <c r="R468" s="5"/>
      <c r="S468" s="5"/>
      <c r="T468" s="5"/>
      <c r="U468" s="5"/>
      <c r="V468" s="5"/>
      <c r="W468" s="5"/>
      <c r="X468" s="6"/>
      <c r="Z468" s="30">
        <f t="shared" si="140"/>
        <v>0</v>
      </c>
    </row>
    <row r="469" spans="6:26" ht="60" customHeight="1" x14ac:dyDescent="0.2">
      <c r="F469" s="50">
        <f t="shared" si="138"/>
        <v>80316</v>
      </c>
      <c r="G469" s="53" t="s">
        <v>424</v>
      </c>
      <c r="H469" s="52">
        <v>2500000</v>
      </c>
      <c r="I469" s="52"/>
      <c r="J469" s="52"/>
      <c r="K469" s="52"/>
      <c r="L469" s="52"/>
      <c r="M469" s="52"/>
      <c r="N469" s="52"/>
      <c r="O469" s="7">
        <f t="shared" si="139"/>
        <v>0</v>
      </c>
      <c r="P469" s="5"/>
      <c r="Q469" s="5"/>
      <c r="R469" s="5"/>
      <c r="S469" s="5"/>
      <c r="T469" s="5"/>
      <c r="U469" s="5"/>
      <c r="V469" s="5"/>
      <c r="W469" s="5"/>
      <c r="X469" s="6"/>
      <c r="Z469" s="30">
        <f t="shared" si="140"/>
        <v>0</v>
      </c>
    </row>
    <row r="470" spans="6:26" ht="60" customHeight="1" x14ac:dyDescent="0.2">
      <c r="F470" s="50">
        <f t="shared" si="138"/>
        <v>80317</v>
      </c>
      <c r="G470" s="53" t="s">
        <v>426</v>
      </c>
      <c r="H470" s="52">
        <f>10000000-I470</f>
        <v>5000000</v>
      </c>
      <c r="I470" s="52">
        <v>5000000</v>
      </c>
      <c r="J470" s="52">
        <v>2200000</v>
      </c>
      <c r="K470" s="52"/>
      <c r="L470" s="52"/>
      <c r="M470" s="52"/>
      <c r="N470" s="52">
        <f>+I470-J470</f>
        <v>2800000</v>
      </c>
      <c r="O470" s="7">
        <f t="shared" si="139"/>
        <v>2800000</v>
      </c>
      <c r="P470" s="5"/>
      <c r="Q470" s="5"/>
      <c r="R470" s="5"/>
      <c r="S470" s="5"/>
      <c r="T470" s="5"/>
      <c r="U470" s="5"/>
      <c r="V470" s="5"/>
      <c r="W470" s="5"/>
      <c r="X470" s="6"/>
      <c r="Z470" s="30">
        <f t="shared" si="140"/>
        <v>0</v>
      </c>
    </row>
    <row r="471" spans="6:26" ht="60" customHeight="1" x14ac:dyDescent="0.2">
      <c r="F471" s="58"/>
      <c r="G471" s="56" t="s">
        <v>282</v>
      </c>
      <c r="H471" s="57">
        <f t="shared" ref="H471:W471" si="141">SUM(H454:H470)</f>
        <v>33400000</v>
      </c>
      <c r="I471" s="57">
        <f t="shared" si="141"/>
        <v>65100000</v>
      </c>
      <c r="J471" s="57">
        <f t="shared" si="141"/>
        <v>55610000</v>
      </c>
      <c r="K471" s="57">
        <f t="shared" si="141"/>
        <v>0</v>
      </c>
      <c r="L471" s="57">
        <f t="shared" si="141"/>
        <v>0</v>
      </c>
      <c r="M471" s="57">
        <f t="shared" si="141"/>
        <v>0</v>
      </c>
      <c r="N471" s="57">
        <f t="shared" si="141"/>
        <v>9490000</v>
      </c>
      <c r="O471" s="6">
        <f t="shared" si="141"/>
        <v>9490000</v>
      </c>
      <c r="P471" s="6">
        <f t="shared" si="141"/>
        <v>0</v>
      </c>
      <c r="Q471" s="6">
        <f t="shared" si="141"/>
        <v>0</v>
      </c>
      <c r="R471" s="6">
        <f t="shared" si="141"/>
        <v>0</v>
      </c>
      <c r="S471" s="6">
        <f t="shared" si="141"/>
        <v>0</v>
      </c>
      <c r="T471" s="6">
        <f t="shared" si="141"/>
        <v>0</v>
      </c>
      <c r="U471" s="6">
        <f t="shared" si="141"/>
        <v>0</v>
      </c>
      <c r="V471" s="6">
        <f t="shared" si="141"/>
        <v>0</v>
      </c>
      <c r="W471" s="6">
        <f t="shared" si="141"/>
        <v>0</v>
      </c>
      <c r="X471" s="6">
        <f t="shared" si="134"/>
        <v>0</v>
      </c>
      <c r="Z471" s="30">
        <f t="shared" si="140"/>
        <v>0</v>
      </c>
    </row>
    <row r="472" spans="6:26" ht="60" customHeight="1" x14ac:dyDescent="0.2">
      <c r="F472" s="55"/>
      <c r="G472" s="56" t="s">
        <v>283</v>
      </c>
      <c r="H472" s="57">
        <f t="shared" ref="H472:O472" si="142">H441+H452+H471</f>
        <v>33400000</v>
      </c>
      <c r="I472" s="57">
        <f t="shared" si="142"/>
        <v>496640000</v>
      </c>
      <c r="J472" s="57">
        <f t="shared" si="142"/>
        <v>474045000</v>
      </c>
      <c r="K472" s="57">
        <f t="shared" si="142"/>
        <v>8265000</v>
      </c>
      <c r="L472" s="57">
        <f t="shared" si="142"/>
        <v>0</v>
      </c>
      <c r="M472" s="57">
        <f t="shared" si="142"/>
        <v>0</v>
      </c>
      <c r="N472" s="57">
        <f t="shared" si="142"/>
        <v>14330000</v>
      </c>
      <c r="O472" s="6">
        <f t="shared" si="142"/>
        <v>22595000</v>
      </c>
      <c r="P472" s="6" t="e">
        <f>#REF!+P471+P452+P441</f>
        <v>#REF!</v>
      </c>
      <c r="Q472" s="6" t="e">
        <f>#REF!+Q471+Q452+Q441</f>
        <v>#REF!</v>
      </c>
      <c r="R472" s="6" t="e">
        <f>#REF!+R471+R452+R441</f>
        <v>#REF!</v>
      </c>
      <c r="S472" s="6" t="e">
        <f>#REF!+S471+S452+S441</f>
        <v>#REF!</v>
      </c>
      <c r="T472" s="6" t="e">
        <f>#REF!+T471+T452+T441</f>
        <v>#REF!</v>
      </c>
      <c r="U472" s="6" t="e">
        <f>#REF!+U471+U452+U441</f>
        <v>#REF!</v>
      </c>
      <c r="V472" s="6" t="e">
        <f>#REF!+V471+V452+V441</f>
        <v>#REF!</v>
      </c>
      <c r="W472" s="6" t="e">
        <f>#REF!+W471+W452+W441</f>
        <v>#REF!</v>
      </c>
      <c r="X472" s="6" t="e">
        <f t="shared" ref="X472:X482" si="143">Q472-R472-W472</f>
        <v>#REF!</v>
      </c>
      <c r="Z472" s="30">
        <f t="shared" si="140"/>
        <v>0</v>
      </c>
    </row>
    <row r="473" spans="6:26" ht="60" customHeight="1" x14ac:dyDescent="0.2">
      <c r="F473" s="50"/>
      <c r="G473" s="51" t="s">
        <v>284</v>
      </c>
      <c r="H473" s="52"/>
      <c r="I473" s="52"/>
      <c r="J473" s="52"/>
      <c r="K473" s="52"/>
      <c r="L473" s="52"/>
      <c r="M473" s="52"/>
      <c r="N473" s="52"/>
      <c r="O473" s="5"/>
      <c r="P473" s="5"/>
      <c r="Q473" s="5"/>
      <c r="R473" s="5"/>
      <c r="S473" s="5"/>
      <c r="T473" s="5"/>
      <c r="U473" s="5"/>
      <c r="V473" s="5"/>
      <c r="W473" s="5"/>
      <c r="X473" s="6">
        <f t="shared" si="143"/>
        <v>0</v>
      </c>
      <c r="Z473" s="30">
        <f t="shared" si="140"/>
        <v>0</v>
      </c>
    </row>
    <row r="474" spans="6:26" ht="60" customHeight="1" x14ac:dyDescent="0.2">
      <c r="F474" s="50">
        <v>90100</v>
      </c>
      <c r="G474" s="51" t="s">
        <v>285</v>
      </c>
      <c r="H474" s="52"/>
      <c r="I474" s="52"/>
      <c r="J474" s="52"/>
      <c r="K474" s="52"/>
      <c r="L474" s="52"/>
      <c r="M474" s="52"/>
      <c r="N474" s="52"/>
      <c r="O474" s="5"/>
      <c r="P474" s="5"/>
      <c r="Q474" s="5"/>
      <c r="R474" s="5"/>
      <c r="S474" s="5"/>
      <c r="T474" s="5"/>
      <c r="U474" s="5"/>
      <c r="V474" s="5"/>
      <c r="W474" s="5"/>
      <c r="X474" s="6">
        <f t="shared" si="143"/>
        <v>0</v>
      </c>
      <c r="Z474" s="30">
        <f t="shared" si="140"/>
        <v>0</v>
      </c>
    </row>
    <row r="475" spans="6:26" ht="60" customHeight="1" x14ac:dyDescent="0.2">
      <c r="F475" s="50">
        <f>+F474+1</f>
        <v>90101</v>
      </c>
      <c r="G475" s="53" t="s">
        <v>286</v>
      </c>
      <c r="H475" s="52">
        <f>800000+400000+800000+1500000+280000+500000+65000+100000+200000+35000+100000+750000+500000+500000+300000-I475</f>
        <v>1830000</v>
      </c>
      <c r="I475" s="52">
        <v>5000000</v>
      </c>
      <c r="J475" s="52"/>
      <c r="K475" s="52"/>
      <c r="L475" s="52"/>
      <c r="M475" s="52">
        <f>I475</f>
        <v>5000000</v>
      </c>
      <c r="N475" s="52"/>
      <c r="O475" s="7">
        <f>SUM(K475:N475)</f>
        <v>5000000</v>
      </c>
      <c r="P475" s="5"/>
      <c r="Q475" s="5"/>
      <c r="R475" s="5"/>
      <c r="S475" s="5"/>
      <c r="T475" s="5"/>
      <c r="U475" s="5"/>
      <c r="V475" s="5"/>
      <c r="W475" s="5">
        <f>V475+U475+T475+S475</f>
        <v>0</v>
      </c>
      <c r="X475" s="6">
        <f t="shared" si="143"/>
        <v>0</v>
      </c>
      <c r="Z475" s="30">
        <f t="shared" si="140"/>
        <v>0</v>
      </c>
    </row>
    <row r="476" spans="6:26" ht="60" customHeight="1" x14ac:dyDescent="0.2">
      <c r="F476" s="50">
        <f>+F475+1</f>
        <v>90102</v>
      </c>
      <c r="G476" s="53" t="s">
        <v>287</v>
      </c>
      <c r="H476" s="52"/>
      <c r="I476" s="52">
        <v>500000</v>
      </c>
      <c r="J476" s="52"/>
      <c r="K476" s="52"/>
      <c r="L476" s="52"/>
      <c r="M476" s="52">
        <f>I476</f>
        <v>500000</v>
      </c>
      <c r="N476" s="52"/>
      <c r="O476" s="7">
        <f>SUM(K476:N476)</f>
        <v>500000</v>
      </c>
      <c r="P476" s="5"/>
      <c r="Q476" s="5"/>
      <c r="R476" s="5"/>
      <c r="S476" s="5"/>
      <c r="T476" s="5"/>
      <c r="U476" s="5"/>
      <c r="V476" s="5"/>
      <c r="W476" s="5">
        <f>V476+U476+T476+S476</f>
        <v>0</v>
      </c>
      <c r="X476" s="6">
        <f t="shared" si="143"/>
        <v>0</v>
      </c>
      <c r="Z476" s="30">
        <f t="shared" si="140"/>
        <v>0</v>
      </c>
    </row>
    <row r="477" spans="6:26" ht="60" customHeight="1" x14ac:dyDescent="0.2">
      <c r="F477" s="50">
        <f>+F476+1</f>
        <v>90103</v>
      </c>
      <c r="G477" s="53" t="s">
        <v>288</v>
      </c>
      <c r="H477" s="52"/>
      <c r="I477" s="52">
        <v>600000</v>
      </c>
      <c r="J477" s="52"/>
      <c r="K477" s="52"/>
      <c r="L477" s="52"/>
      <c r="M477" s="52">
        <f>I477</f>
        <v>600000</v>
      </c>
      <c r="N477" s="52"/>
      <c r="O477" s="7">
        <f>SUM(K477:N477)</f>
        <v>600000</v>
      </c>
      <c r="P477" s="5"/>
      <c r="Q477" s="5"/>
      <c r="R477" s="5"/>
      <c r="S477" s="5"/>
      <c r="T477" s="5"/>
      <c r="U477" s="5"/>
      <c r="V477" s="5"/>
      <c r="W477" s="5">
        <f>V477+U477+T477+S477</f>
        <v>0</v>
      </c>
      <c r="X477" s="6">
        <f t="shared" si="143"/>
        <v>0</v>
      </c>
      <c r="Z477" s="30">
        <f t="shared" si="140"/>
        <v>0</v>
      </c>
    </row>
    <row r="478" spans="6:26" ht="60" customHeight="1" x14ac:dyDescent="0.2">
      <c r="F478" s="50">
        <f>+F477+1</f>
        <v>90104</v>
      </c>
      <c r="G478" s="53" t="s">
        <v>289</v>
      </c>
      <c r="H478" s="52"/>
      <c r="I478" s="52">
        <f>150000+100000+100000</f>
        <v>350000</v>
      </c>
      <c r="J478" s="52"/>
      <c r="K478" s="52">
        <v>30000</v>
      </c>
      <c r="L478" s="52"/>
      <c r="M478" s="52">
        <f>I478-K478</f>
        <v>320000</v>
      </c>
      <c r="N478" s="52"/>
      <c r="O478" s="7">
        <f>SUM(K478:N478)</f>
        <v>350000</v>
      </c>
      <c r="P478" s="5"/>
      <c r="Q478" s="5"/>
      <c r="R478" s="5"/>
      <c r="S478" s="5"/>
      <c r="T478" s="5"/>
      <c r="U478" s="5"/>
      <c r="V478" s="5"/>
      <c r="W478" s="5">
        <f>V478+U478+T478+S478</f>
        <v>0</v>
      </c>
      <c r="X478" s="6">
        <f t="shared" si="143"/>
        <v>0</v>
      </c>
      <c r="Z478" s="30">
        <f t="shared" si="140"/>
        <v>0</v>
      </c>
    </row>
    <row r="479" spans="6:26" ht="60" customHeight="1" x14ac:dyDescent="0.2">
      <c r="F479" s="50">
        <f>+F478+1</f>
        <v>90105</v>
      </c>
      <c r="G479" s="53" t="s">
        <v>290</v>
      </c>
      <c r="H479" s="52"/>
      <c r="I479" s="52">
        <f>50000</f>
        <v>50000</v>
      </c>
      <c r="J479" s="52"/>
      <c r="K479" s="52">
        <f>I479</f>
        <v>50000</v>
      </c>
      <c r="L479" s="52"/>
      <c r="M479" s="52"/>
      <c r="N479" s="52"/>
      <c r="O479" s="7">
        <f>SUM(K479:N479)</f>
        <v>50000</v>
      </c>
      <c r="P479" s="5"/>
      <c r="Q479" s="5"/>
      <c r="R479" s="5"/>
      <c r="S479" s="5"/>
      <c r="T479" s="5"/>
      <c r="U479" s="5"/>
      <c r="V479" s="5"/>
      <c r="W479" s="5">
        <f>V479+U479+T479+S479</f>
        <v>0</v>
      </c>
      <c r="X479" s="6">
        <f t="shared" si="143"/>
        <v>0</v>
      </c>
      <c r="Z479" s="30">
        <f t="shared" si="140"/>
        <v>0</v>
      </c>
    </row>
    <row r="480" spans="6:26" ht="60" customHeight="1" x14ac:dyDescent="0.2">
      <c r="F480" s="58"/>
      <c r="G480" s="56" t="s">
        <v>291</v>
      </c>
      <c r="H480" s="57">
        <f t="shared" ref="H480:W480" si="144">SUM(H475:H479)</f>
        <v>1830000</v>
      </c>
      <c r="I480" s="57">
        <f t="shared" si="144"/>
        <v>6500000</v>
      </c>
      <c r="J480" s="57">
        <f t="shared" si="144"/>
        <v>0</v>
      </c>
      <c r="K480" s="57">
        <f t="shared" si="144"/>
        <v>80000</v>
      </c>
      <c r="L480" s="57">
        <f t="shared" si="144"/>
        <v>0</v>
      </c>
      <c r="M480" s="57">
        <f t="shared" si="144"/>
        <v>6420000</v>
      </c>
      <c r="N480" s="57">
        <f t="shared" si="144"/>
        <v>0</v>
      </c>
      <c r="O480" s="6">
        <f t="shared" si="144"/>
        <v>6500000</v>
      </c>
      <c r="P480" s="6">
        <f t="shared" si="144"/>
        <v>0</v>
      </c>
      <c r="Q480" s="6">
        <f t="shared" si="144"/>
        <v>0</v>
      </c>
      <c r="R480" s="6">
        <f t="shared" si="144"/>
        <v>0</v>
      </c>
      <c r="S480" s="6">
        <f t="shared" si="144"/>
        <v>0</v>
      </c>
      <c r="T480" s="6">
        <f t="shared" si="144"/>
        <v>0</v>
      </c>
      <c r="U480" s="6">
        <f t="shared" si="144"/>
        <v>0</v>
      </c>
      <c r="V480" s="6">
        <f t="shared" si="144"/>
        <v>0</v>
      </c>
      <c r="W480" s="6">
        <f t="shared" si="144"/>
        <v>0</v>
      </c>
      <c r="X480" s="6">
        <f t="shared" si="143"/>
        <v>0</v>
      </c>
      <c r="Z480" s="30">
        <f t="shared" si="140"/>
        <v>0</v>
      </c>
    </row>
    <row r="481" spans="6:26" ht="60" customHeight="1" x14ac:dyDescent="0.2">
      <c r="F481" s="55"/>
      <c r="G481" s="56" t="s">
        <v>292</v>
      </c>
      <c r="H481" s="57">
        <f>H480</f>
        <v>1830000</v>
      </c>
      <c r="I481" s="57">
        <f t="shared" ref="I481:O481" si="145">I480</f>
        <v>6500000</v>
      </c>
      <c r="J481" s="57">
        <f t="shared" si="145"/>
        <v>0</v>
      </c>
      <c r="K481" s="57">
        <f t="shared" si="145"/>
        <v>80000</v>
      </c>
      <c r="L481" s="57">
        <f t="shared" si="145"/>
        <v>0</v>
      </c>
      <c r="M481" s="57">
        <f t="shared" si="145"/>
        <v>6420000</v>
      </c>
      <c r="N481" s="57">
        <f t="shared" si="145"/>
        <v>0</v>
      </c>
      <c r="O481" s="6">
        <f t="shared" si="145"/>
        <v>6500000</v>
      </c>
      <c r="P481" s="6" t="e">
        <f>#REF!+P480</f>
        <v>#REF!</v>
      </c>
      <c r="Q481" s="6" t="e">
        <f>#REF!+Q480</f>
        <v>#REF!</v>
      </c>
      <c r="R481" s="6" t="e">
        <f>#REF!+R480</f>
        <v>#REF!</v>
      </c>
      <c r="S481" s="6" t="e">
        <f>#REF!+S480</f>
        <v>#REF!</v>
      </c>
      <c r="T481" s="6" t="e">
        <f>#REF!+T480</f>
        <v>#REF!</v>
      </c>
      <c r="U481" s="6" t="e">
        <f>#REF!+U480</f>
        <v>#REF!</v>
      </c>
      <c r="V481" s="6" t="e">
        <f>#REF!+V480</f>
        <v>#REF!</v>
      </c>
      <c r="W481" s="6" t="e">
        <f>#REF!+W480</f>
        <v>#REF!</v>
      </c>
      <c r="X481" s="6" t="e">
        <f t="shared" si="143"/>
        <v>#REF!</v>
      </c>
      <c r="Z481" s="30">
        <f t="shared" si="140"/>
        <v>0</v>
      </c>
    </row>
    <row r="482" spans="6:26" ht="60" customHeight="1" x14ac:dyDescent="0.2">
      <c r="F482" s="62"/>
      <c r="G482" s="63" t="s">
        <v>293</v>
      </c>
      <c r="H482" s="64">
        <f t="shared" ref="H482:W482" si="146">H481+H472+H423+H407+H402+H370+H183+H80+H10</f>
        <v>269256637</v>
      </c>
      <c r="I482" s="64">
        <f t="shared" si="146"/>
        <v>934245000</v>
      </c>
      <c r="J482" s="64">
        <f t="shared" si="146"/>
        <v>564780000</v>
      </c>
      <c r="K482" s="64">
        <f t="shared" si="146"/>
        <v>68070000</v>
      </c>
      <c r="L482" s="64">
        <f t="shared" si="146"/>
        <v>115510000</v>
      </c>
      <c r="M482" s="64">
        <f t="shared" si="146"/>
        <v>120000000</v>
      </c>
      <c r="N482" s="64">
        <f t="shared" si="146"/>
        <v>65885000</v>
      </c>
      <c r="O482" s="43" t="e">
        <f t="shared" si="146"/>
        <v>#REF!</v>
      </c>
      <c r="P482" s="6" t="e">
        <f t="shared" si="146"/>
        <v>#REF!</v>
      </c>
      <c r="Q482" s="6" t="e">
        <f t="shared" si="146"/>
        <v>#REF!</v>
      </c>
      <c r="R482" s="6" t="e">
        <f t="shared" si="146"/>
        <v>#REF!</v>
      </c>
      <c r="S482" s="6" t="e">
        <f t="shared" si="146"/>
        <v>#REF!</v>
      </c>
      <c r="T482" s="6" t="e">
        <f t="shared" si="146"/>
        <v>#REF!</v>
      </c>
      <c r="U482" s="6" t="e">
        <f t="shared" si="146"/>
        <v>#REF!</v>
      </c>
      <c r="V482" s="6" t="e">
        <f t="shared" si="146"/>
        <v>#REF!</v>
      </c>
      <c r="W482" s="6" t="e">
        <f t="shared" si="146"/>
        <v>#REF!</v>
      </c>
      <c r="X482" s="6" t="e">
        <f t="shared" si="143"/>
        <v>#REF!</v>
      </c>
      <c r="Z482" s="30">
        <f t="shared" si="140"/>
        <v>0</v>
      </c>
    </row>
    <row r="483" spans="6:26" ht="26.25" x14ac:dyDescent="0.2">
      <c r="F483" s="11"/>
      <c r="G483" s="12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</row>
    <row r="484" spans="6:26" ht="26.25" x14ac:dyDescent="0.2">
      <c r="F484" s="11"/>
      <c r="G484" s="12"/>
      <c r="H484" s="13">
        <f>H482+I482</f>
        <v>1203501637</v>
      </c>
      <c r="I484" s="24" t="e">
        <f>I482-J482-O482</f>
        <v>#REF!</v>
      </c>
      <c r="J484" s="13"/>
      <c r="K484" s="13"/>
      <c r="L484" s="13"/>
      <c r="M484" s="13"/>
      <c r="N484" s="13"/>
      <c r="O484" s="13"/>
      <c r="P484" s="13"/>
      <c r="Q484" s="24"/>
      <c r="R484" s="13"/>
      <c r="S484" s="13"/>
      <c r="T484" s="13"/>
      <c r="U484" s="13"/>
      <c r="V484" s="13"/>
      <c r="W484" s="13"/>
    </row>
    <row r="485" spans="6:26" ht="30.75" x14ac:dyDescent="0.2">
      <c r="F485" s="11"/>
      <c r="G485" s="12"/>
      <c r="H485" s="13"/>
      <c r="I485" s="13"/>
      <c r="J485" s="13"/>
      <c r="K485" s="13"/>
      <c r="L485" s="13"/>
      <c r="M485" s="13"/>
      <c r="N485" s="13"/>
      <c r="O485" s="13"/>
      <c r="P485" s="13"/>
      <c r="Q485" s="14"/>
      <c r="R485" s="13"/>
      <c r="S485" s="13"/>
      <c r="T485" s="13"/>
      <c r="U485" s="13"/>
      <c r="V485" s="13"/>
      <c r="W485" s="13"/>
    </row>
    <row r="486" spans="6:26" ht="26.25" x14ac:dyDescent="0.2">
      <c r="F486" s="15"/>
      <c r="G486" s="25"/>
      <c r="H486" s="23"/>
      <c r="I486" s="17"/>
      <c r="J486" s="16"/>
      <c r="K486" s="16"/>
      <c r="L486" s="16"/>
      <c r="M486" s="16"/>
      <c r="N486" s="23"/>
      <c r="O486" s="17"/>
      <c r="P486" s="17"/>
      <c r="Q486" s="16"/>
      <c r="R486" s="16"/>
      <c r="S486" s="16"/>
      <c r="T486" s="16"/>
      <c r="U486" s="16"/>
      <c r="V486" s="16"/>
      <c r="W486" s="16"/>
    </row>
    <row r="487" spans="6:26" ht="26.25" x14ac:dyDescent="0.2">
      <c r="F487" s="15"/>
      <c r="G487" s="25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</row>
    <row r="488" spans="6:26" ht="26.25" x14ac:dyDescent="0.2">
      <c r="F488" s="15"/>
      <c r="G488" s="25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</row>
    <row r="489" spans="6:26" ht="26.25" x14ac:dyDescent="0.2">
      <c r="F489" s="18"/>
      <c r="G489" s="26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6:26" ht="23.25" x14ac:dyDescent="0.35">
      <c r="F490" s="19"/>
      <c r="G490" s="2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</row>
    <row r="491" spans="6:26" ht="23.25" x14ac:dyDescent="0.35">
      <c r="F491" s="19"/>
      <c r="G491" s="2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</row>
    <row r="492" spans="6:26" ht="23.25" x14ac:dyDescent="0.35">
      <c r="F492" s="19"/>
      <c r="G492" s="2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</row>
    <row r="493" spans="6:26" ht="23.25" x14ac:dyDescent="0.35">
      <c r="F493" s="19"/>
      <c r="G493" s="2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</row>
    <row r="494" spans="6:26" ht="23.25" x14ac:dyDescent="0.35">
      <c r="F494" s="19"/>
      <c r="G494" s="2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</row>
    <row r="495" spans="6:26" ht="23.25" x14ac:dyDescent="0.35">
      <c r="F495" s="19"/>
      <c r="G495" s="2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</row>
    <row r="496" spans="6:26" ht="23.25" x14ac:dyDescent="0.35">
      <c r="F496" s="19"/>
      <c r="G496" s="2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</row>
    <row r="497" spans="6:23" ht="23.25" x14ac:dyDescent="0.35">
      <c r="F497" s="19"/>
      <c r="G497" s="2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</row>
    <row r="498" spans="6:23" ht="23.25" x14ac:dyDescent="0.35">
      <c r="F498" s="19"/>
      <c r="G498" s="2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</row>
    <row r="499" spans="6:23" ht="23.25" x14ac:dyDescent="0.35">
      <c r="F499" s="19"/>
      <c r="G499" s="2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</row>
    <row r="500" spans="6:23" ht="23.25" x14ac:dyDescent="0.35">
      <c r="F500" s="19"/>
      <c r="G500" s="2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</row>
    <row r="501" spans="6:23" ht="23.25" x14ac:dyDescent="0.35">
      <c r="F501" s="19"/>
      <c r="G501" s="2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</row>
    <row r="502" spans="6:23" ht="23.25" x14ac:dyDescent="0.35">
      <c r="F502" s="19"/>
      <c r="G502" s="2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</row>
    <row r="503" spans="6:23" ht="23.25" x14ac:dyDescent="0.35">
      <c r="F503" s="19"/>
      <c r="G503" s="2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</row>
    <row r="504" spans="6:23" ht="23.25" x14ac:dyDescent="0.35">
      <c r="F504" s="19"/>
      <c r="G504" s="2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</row>
    <row r="505" spans="6:23" ht="23.25" x14ac:dyDescent="0.35">
      <c r="F505" s="19"/>
      <c r="G505" s="2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</row>
    <row r="506" spans="6:23" ht="23.25" x14ac:dyDescent="0.35">
      <c r="F506" s="19"/>
      <c r="G506" s="2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</row>
    <row r="507" spans="6:23" ht="23.25" x14ac:dyDescent="0.35">
      <c r="F507" s="19"/>
      <c r="G507" s="2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</row>
    <row r="820" spans="3:3" x14ac:dyDescent="0.2">
      <c r="C820">
        <v>0</v>
      </c>
    </row>
  </sheetData>
  <pageMargins left="0.70866141732283472" right="0.70866141732283472" top="0.74803149606299213" bottom="0.74803149606299213" header="0.31496062992125984" footer="0.31496062992125984"/>
  <pageSetup paperSize="9" scale="50" firstPageNumber="25" fitToHeight="40" orientation="landscape" useFirstPageNumber="1" r:id="rId1"/>
  <headerFooter>
    <oddFooter>&amp;C&amp;"-,מודגש"&amp;20 &amp;P</oddFooter>
  </headerFooter>
  <rowBreaks count="27" manualBreakCount="27">
    <brk id="10" min="5" max="15" man="1"/>
    <brk id="21" min="5" max="14" man="1"/>
    <brk id="32" min="5" max="14" man="1"/>
    <brk id="71" min="5" max="14" man="1"/>
    <brk id="80" min="5" max="15" man="1"/>
    <brk id="131" min="5" max="14" man="1"/>
    <brk id="144" min="5" max="15" man="1"/>
    <brk id="152" min="5" max="15" man="1"/>
    <brk id="175" min="5" max="15" man="1"/>
    <brk id="183" min="5" max="15" man="1"/>
    <brk id="220" min="5" max="14" man="1"/>
    <brk id="231" min="5" max="14" man="1"/>
    <brk id="257" min="5" max="14" man="1"/>
    <brk id="266" min="5" max="14" man="1"/>
    <brk id="318" min="5" max="15" man="1"/>
    <brk id="331" min="5" max="15" man="1"/>
    <brk id="356" min="5" max="14" man="1"/>
    <brk id="364" min="5" max="14" man="1"/>
    <brk id="370" min="5" max="15" man="1"/>
    <brk id="392" min="5" max="15" man="1"/>
    <brk id="402" min="5" max="15" man="1"/>
    <brk id="407" min="5" max="15" man="1"/>
    <brk id="416" min="5" max="14" man="1"/>
    <brk id="423" min="5" max="15" man="1"/>
    <brk id="441" min="5" max="15" man="1"/>
    <brk id="452" min="5" max="15" man="1"/>
    <brk id="472" min="5" max="15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K21"/>
  <sheetViews>
    <sheetView rightToLeft="1" workbookViewId="0">
      <selection activeCell="C11" sqref="C11"/>
    </sheetView>
  </sheetViews>
  <sheetFormatPr defaultRowHeight="14.25" x14ac:dyDescent="0.2"/>
  <cols>
    <col min="2" max="2" width="12" bestFit="1" customWidth="1"/>
    <col min="3" max="3" width="24.75" bestFit="1" customWidth="1"/>
    <col min="4" max="4" width="18.375" bestFit="1" customWidth="1"/>
    <col min="5" max="5" width="23.5" bestFit="1" customWidth="1"/>
    <col min="6" max="6" width="19.125" bestFit="1" customWidth="1"/>
    <col min="7" max="7" width="16.375" bestFit="1" customWidth="1"/>
    <col min="8" max="8" width="13.625" customWidth="1"/>
    <col min="9" max="9" width="13.75" customWidth="1"/>
    <col min="10" max="10" width="15.625" bestFit="1" customWidth="1"/>
    <col min="11" max="11" width="0.125" customWidth="1"/>
  </cols>
  <sheetData>
    <row r="5" spans="2:11" ht="56.25" customHeight="1" x14ac:dyDescent="0.2">
      <c r="B5" s="66" t="s">
        <v>483</v>
      </c>
      <c r="C5" s="67" t="s">
        <v>484</v>
      </c>
      <c r="D5" s="69" t="s">
        <v>8</v>
      </c>
      <c r="E5" s="69" t="s">
        <v>480</v>
      </c>
      <c r="F5" s="69" t="s">
        <v>3</v>
      </c>
      <c r="G5" s="69" t="s">
        <v>4</v>
      </c>
      <c r="H5" s="69" t="s">
        <v>5</v>
      </c>
      <c r="I5" s="68" t="s">
        <v>6</v>
      </c>
      <c r="J5" s="69" t="s">
        <v>7</v>
      </c>
    </row>
    <row r="6" spans="2:11" ht="46.5" customHeight="1" x14ac:dyDescent="0.2">
      <c r="B6" s="70">
        <v>1</v>
      </c>
      <c r="C6" s="32" t="s">
        <v>11</v>
      </c>
      <c r="D6" s="71">
        <f>תקציב!H10</f>
        <v>4960000</v>
      </c>
      <c r="E6" s="71">
        <f>תקציב!I10</f>
        <v>4000000</v>
      </c>
      <c r="F6" s="71">
        <f>תקציב!J10</f>
        <v>0</v>
      </c>
      <c r="G6" s="71">
        <f>תקציב!K10</f>
        <v>0</v>
      </c>
      <c r="H6" s="71">
        <f>תקציב!L10</f>
        <v>0</v>
      </c>
      <c r="I6" s="71">
        <f>תקציב!M10</f>
        <v>0</v>
      </c>
      <c r="J6" s="71">
        <f>תקציב!N10</f>
        <v>4000000</v>
      </c>
      <c r="K6" s="33">
        <f>תקציב!O10</f>
        <v>4000000</v>
      </c>
    </row>
    <row r="7" spans="2:11" ht="42" customHeight="1" x14ac:dyDescent="0.2">
      <c r="B7" s="72">
        <v>2</v>
      </c>
      <c r="C7" s="32" t="s">
        <v>61</v>
      </c>
      <c r="D7" s="71">
        <f>תקציב!H80</f>
        <v>87800000</v>
      </c>
      <c r="E7" s="71">
        <f>תקציב!I80</f>
        <v>125350000</v>
      </c>
      <c r="F7" s="71">
        <f>תקציב!J80</f>
        <v>43500000</v>
      </c>
      <c r="G7" s="71">
        <f>תקציב!K80</f>
        <v>26050000</v>
      </c>
      <c r="H7" s="71">
        <f>תקציב!L80</f>
        <v>39700000</v>
      </c>
      <c r="I7" s="71">
        <f>תקציב!M80</f>
        <v>2150000</v>
      </c>
      <c r="J7" s="71">
        <f>תקציב!N80</f>
        <v>13950000</v>
      </c>
      <c r="K7" s="33" t="e">
        <f>תקציב!O80</f>
        <v>#REF!</v>
      </c>
    </row>
    <row r="8" spans="2:11" ht="38.25" customHeight="1" x14ac:dyDescent="0.2">
      <c r="B8" s="72">
        <v>3</v>
      </c>
      <c r="C8" s="32" t="s">
        <v>120</v>
      </c>
      <c r="D8" s="71">
        <f>תקציב!H183</f>
        <v>18530000</v>
      </c>
      <c r="E8" s="71">
        <f>תקציב!I183</f>
        <v>70520000</v>
      </c>
      <c r="F8" s="71">
        <f>תקציב!J183</f>
        <v>33440000</v>
      </c>
      <c r="G8" s="71">
        <f>תקציב!K183</f>
        <v>5000000</v>
      </c>
      <c r="H8" s="71">
        <f>תקציב!L183</f>
        <v>0</v>
      </c>
      <c r="I8" s="71">
        <f>תקציב!M183</f>
        <v>14805000</v>
      </c>
      <c r="J8" s="71">
        <f>תקציב!N183</f>
        <v>17275000</v>
      </c>
      <c r="K8" s="33">
        <f>תקציב!O183</f>
        <v>31080000</v>
      </c>
    </row>
    <row r="9" spans="2:11" ht="36.75" customHeight="1" x14ac:dyDescent="0.2">
      <c r="B9" s="72">
        <v>4</v>
      </c>
      <c r="C9" s="32" t="s">
        <v>228</v>
      </c>
      <c r="D9" s="71">
        <f>תקציב!H370</f>
        <v>94170637</v>
      </c>
      <c r="E9" s="71">
        <f>תקציב!I370</f>
        <v>204810000</v>
      </c>
      <c r="F9" s="71">
        <f>תקציב!J370</f>
        <v>8795000</v>
      </c>
      <c r="G9" s="71">
        <f>תקציב!K370</f>
        <v>26370000</v>
      </c>
      <c r="H9" s="71">
        <f>תקציב!L370</f>
        <v>75810000</v>
      </c>
      <c r="I9" s="71">
        <f>תקציב!M370</f>
        <v>89585000</v>
      </c>
      <c r="J9" s="71">
        <f>תקציב!N370</f>
        <v>4250000</v>
      </c>
      <c r="K9" s="33">
        <f>תקציב!O370</f>
        <v>194115000</v>
      </c>
    </row>
    <row r="10" spans="2:11" ht="39" customHeight="1" x14ac:dyDescent="0.2">
      <c r="B10" s="72">
        <v>5</v>
      </c>
      <c r="C10" s="32" t="s">
        <v>253</v>
      </c>
      <c r="D10" s="71">
        <f>תקציב!H402</f>
        <v>26466000</v>
      </c>
      <c r="E10" s="71">
        <f>תקציב!I402</f>
        <v>12835000</v>
      </c>
      <c r="F10" s="71">
        <f>תקציב!J402</f>
        <v>3500000</v>
      </c>
      <c r="G10" s="71">
        <f>תקציב!K402</f>
        <v>2105000</v>
      </c>
      <c r="H10" s="71">
        <f>תקציב!L402</f>
        <v>0</v>
      </c>
      <c r="I10" s="71">
        <f>תקציב!M402</f>
        <v>2225000</v>
      </c>
      <c r="J10" s="71">
        <f>תקציב!N402</f>
        <v>5005000</v>
      </c>
      <c r="K10" s="33">
        <f>תקציב!O402</f>
        <v>9335000</v>
      </c>
    </row>
    <row r="11" spans="2:11" ht="39" customHeight="1" x14ac:dyDescent="0.2">
      <c r="B11" s="72">
        <v>6</v>
      </c>
      <c r="C11" s="32" t="s">
        <v>258</v>
      </c>
      <c r="D11" s="71">
        <f>תקציב!H407</f>
        <v>900000</v>
      </c>
      <c r="E11" s="71">
        <f>תקציב!I407</f>
        <v>1350000</v>
      </c>
      <c r="F11" s="71">
        <f>תקציב!J407</f>
        <v>0</v>
      </c>
      <c r="G11" s="71">
        <f>תקציב!K407</f>
        <v>0</v>
      </c>
      <c r="H11" s="71">
        <f>תקציב!L407</f>
        <v>0</v>
      </c>
      <c r="I11" s="71">
        <f>תקציב!M407</f>
        <v>1350000</v>
      </c>
      <c r="J11" s="71">
        <f>תקציב!N407</f>
        <v>0</v>
      </c>
      <c r="K11" s="33">
        <f>תקציב!O407</f>
        <v>1350000</v>
      </c>
    </row>
    <row r="12" spans="2:11" ht="36.75" customHeight="1" x14ac:dyDescent="0.2">
      <c r="B12" s="72">
        <v>7</v>
      </c>
      <c r="C12" s="32" t="s">
        <v>266</v>
      </c>
      <c r="D12" s="71">
        <f>תקציב!H423</f>
        <v>1200000</v>
      </c>
      <c r="E12" s="71">
        <f>תקציב!I423</f>
        <v>12240000</v>
      </c>
      <c r="F12" s="71">
        <f>תקציב!J423</f>
        <v>1500000</v>
      </c>
      <c r="G12" s="71">
        <f>תקציב!K423</f>
        <v>200000</v>
      </c>
      <c r="H12" s="71">
        <f>תקציב!L423</f>
        <v>0</v>
      </c>
      <c r="I12" s="71">
        <f>תקציב!M423</f>
        <v>3465000</v>
      </c>
      <c r="J12" s="71">
        <f>תקציב!N423</f>
        <v>7075000</v>
      </c>
      <c r="K12" s="33">
        <f>תקציב!O423</f>
        <v>9940000</v>
      </c>
    </row>
    <row r="13" spans="2:11" ht="36" customHeight="1" x14ac:dyDescent="0.2">
      <c r="B13" s="72">
        <v>8</v>
      </c>
      <c r="C13" s="32" t="s">
        <v>283</v>
      </c>
      <c r="D13" s="71">
        <f>תקציב!H472</f>
        <v>33400000</v>
      </c>
      <c r="E13" s="71">
        <f>תקציב!I472</f>
        <v>496640000</v>
      </c>
      <c r="F13" s="71">
        <f>תקציב!J472</f>
        <v>474045000</v>
      </c>
      <c r="G13" s="71">
        <f>תקציב!K472</f>
        <v>8265000</v>
      </c>
      <c r="H13" s="71">
        <f>תקציב!L472</f>
        <v>0</v>
      </c>
      <c r="I13" s="71">
        <f>תקציב!M472</f>
        <v>0</v>
      </c>
      <c r="J13" s="71">
        <f>תקציב!N472</f>
        <v>14330000</v>
      </c>
      <c r="K13" s="33">
        <f>תקציב!O472</f>
        <v>22595000</v>
      </c>
    </row>
    <row r="14" spans="2:11" ht="33.75" customHeight="1" x14ac:dyDescent="0.2">
      <c r="B14" s="72">
        <v>9</v>
      </c>
      <c r="C14" s="32" t="s">
        <v>292</v>
      </c>
      <c r="D14" s="71">
        <f>תקציב!H481</f>
        <v>1830000</v>
      </c>
      <c r="E14" s="71">
        <f>תקציב!I481</f>
        <v>6500000</v>
      </c>
      <c r="F14" s="71">
        <f>תקציב!J481</f>
        <v>0</v>
      </c>
      <c r="G14" s="71">
        <f>תקציב!K481</f>
        <v>80000</v>
      </c>
      <c r="H14" s="71">
        <f>תקציב!L481</f>
        <v>0</v>
      </c>
      <c r="I14" s="71">
        <f>תקציב!M481</f>
        <v>6420000</v>
      </c>
      <c r="J14" s="71">
        <f>תקציב!N481</f>
        <v>0</v>
      </c>
      <c r="K14" s="33">
        <f>תקציב!O481</f>
        <v>6500000</v>
      </c>
    </row>
    <row r="15" spans="2:11" ht="41.25" customHeight="1" x14ac:dyDescent="0.2">
      <c r="B15" s="73"/>
      <c r="C15" s="65" t="s">
        <v>293</v>
      </c>
      <c r="D15" s="74">
        <f>תקציב!H482</f>
        <v>269256637</v>
      </c>
      <c r="E15" s="74">
        <f>תקציב!I482</f>
        <v>934245000</v>
      </c>
      <c r="F15" s="74">
        <f>תקציב!J482</f>
        <v>564780000</v>
      </c>
      <c r="G15" s="74">
        <f>תקציב!K482</f>
        <v>68070000</v>
      </c>
      <c r="H15" s="74">
        <f>תקציב!L482</f>
        <v>115510000</v>
      </c>
      <c r="I15" s="74">
        <f>תקציב!M482</f>
        <v>120000000</v>
      </c>
      <c r="J15" s="74">
        <f>תקציב!N482</f>
        <v>65885000</v>
      </c>
      <c r="K15" s="33" t="e">
        <f>תקציב!O482</f>
        <v>#REF!</v>
      </c>
    </row>
    <row r="17" spans="3:11" x14ac:dyDescent="0.2">
      <c r="D17" s="29">
        <f>SUM(D6:D14)</f>
        <v>269256637</v>
      </c>
      <c r="E17" s="29">
        <f t="shared" ref="E17:J17" si="0">SUM(E6:E14)</f>
        <v>934245000</v>
      </c>
      <c r="F17" s="29">
        <f t="shared" si="0"/>
        <v>564780000</v>
      </c>
      <c r="G17" s="29">
        <f t="shared" si="0"/>
        <v>68070000</v>
      </c>
      <c r="H17" s="29">
        <f t="shared" si="0"/>
        <v>115510000</v>
      </c>
      <c r="I17" s="29">
        <f t="shared" si="0"/>
        <v>120000000</v>
      </c>
      <c r="J17" s="29">
        <f t="shared" si="0"/>
        <v>65885000</v>
      </c>
      <c r="K17" s="29">
        <f>SUM(G17:J17)</f>
        <v>369465000</v>
      </c>
    </row>
    <row r="19" spans="3:11" x14ac:dyDescent="0.2">
      <c r="C19" t="s">
        <v>463</v>
      </c>
      <c r="D19" s="29"/>
      <c r="E19" s="29"/>
      <c r="F19" s="29"/>
      <c r="G19" s="29">
        <v>60000000</v>
      </c>
      <c r="H19" s="29">
        <v>150000000</v>
      </c>
      <c r="I19" s="29">
        <v>120000000</v>
      </c>
      <c r="J19" s="29">
        <v>60000000</v>
      </c>
      <c r="K19" s="29">
        <f>SUM(G19:J19)</f>
        <v>390000000</v>
      </c>
    </row>
    <row r="21" spans="3:11" x14ac:dyDescent="0.2">
      <c r="C21" t="s">
        <v>464</v>
      </c>
      <c r="G21" s="29">
        <f>G17-G19</f>
        <v>8070000</v>
      </c>
      <c r="H21" s="29">
        <f>H17-H19</f>
        <v>-34490000</v>
      </c>
      <c r="I21" s="29">
        <f>I17-I19</f>
        <v>0</v>
      </c>
      <c r="J21" s="29">
        <f>J17-J19</f>
        <v>5885000</v>
      </c>
      <c r="K21" s="29">
        <f>K17-K19</f>
        <v>-20535000</v>
      </c>
    </row>
  </sheetData>
  <pageMargins left="0.70866141732283472" right="0.70866141732283472" top="0.74803149606299213" bottom="0.74803149606299213" header="0.31496062992125984" footer="0.31496062992125984"/>
  <pageSetup paperSize="9" scale="93" fitToHeight="40" orientation="landscape" r:id="rId1"/>
  <headerFooter>
    <oddFooter>&amp;C3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3"/>
  <sheetViews>
    <sheetView rightToLeft="1" topLeftCell="A46" workbookViewId="0">
      <selection activeCell="C53" sqref="C53"/>
    </sheetView>
  </sheetViews>
  <sheetFormatPr defaultRowHeight="14.25" x14ac:dyDescent="0.2"/>
  <cols>
    <col min="2" max="2" width="13.5" bestFit="1" customWidth="1"/>
    <col min="3" max="3" width="23.125" customWidth="1"/>
    <col min="4" max="4" width="15.125" customWidth="1"/>
    <col min="5" max="5" width="19.125" customWidth="1"/>
    <col min="6" max="6" width="16" customWidth="1"/>
    <col min="7" max="7" width="13.625" customWidth="1"/>
    <col min="8" max="9" width="11.875" bestFit="1" customWidth="1"/>
    <col min="10" max="10" width="13.125" customWidth="1"/>
    <col min="13" max="13" width="9.875" bestFit="1" customWidth="1"/>
  </cols>
  <sheetData>
    <row r="2" spans="2:13" ht="15.75" x14ac:dyDescent="0.2">
      <c r="D2" s="31"/>
      <c r="E2" s="34"/>
      <c r="F2" s="34"/>
      <c r="G2" s="34"/>
      <c r="H2" s="34"/>
      <c r="I2" s="34"/>
      <c r="J2" s="34"/>
    </row>
    <row r="3" spans="2:13" ht="46.5" customHeight="1" x14ac:dyDescent="0.2">
      <c r="B3" s="85" t="s">
        <v>483</v>
      </c>
      <c r="C3" s="78" t="s">
        <v>484</v>
      </c>
      <c r="D3" s="78" t="s">
        <v>8</v>
      </c>
      <c r="E3" s="78" t="s">
        <v>480</v>
      </c>
      <c r="F3" s="78" t="s">
        <v>3</v>
      </c>
      <c r="G3" s="78" t="s">
        <v>4</v>
      </c>
      <c r="H3" s="79" t="s">
        <v>5</v>
      </c>
      <c r="I3" s="79" t="s">
        <v>6</v>
      </c>
      <c r="J3" s="80" t="s">
        <v>7</v>
      </c>
    </row>
    <row r="4" spans="2:13" ht="32.25" customHeight="1" x14ac:dyDescent="0.25">
      <c r="B4" s="86">
        <v>1</v>
      </c>
      <c r="C4" s="36" t="s">
        <v>11</v>
      </c>
      <c r="D4" s="37">
        <f>תקציב!H10</f>
        <v>4960000</v>
      </c>
      <c r="E4" s="37">
        <f>תקציב!I10</f>
        <v>4000000</v>
      </c>
      <c r="F4" s="37">
        <f>תקציב!J10</f>
        <v>0</v>
      </c>
      <c r="G4" s="37">
        <f>תקציב!K10</f>
        <v>0</v>
      </c>
      <c r="H4" s="37">
        <f>תקציב!L10</f>
        <v>0</v>
      </c>
      <c r="I4" s="37">
        <f>תקציב!M10</f>
        <v>0</v>
      </c>
      <c r="J4" s="77">
        <f>תקציב!N10</f>
        <v>4000000</v>
      </c>
      <c r="M4" s="30">
        <f t="shared" ref="M4:M34" si="0">SUM(F4:J4)-E4</f>
        <v>0</v>
      </c>
    </row>
    <row r="5" spans="2:13" ht="32.25" customHeight="1" x14ac:dyDescent="0.25">
      <c r="B5" s="75"/>
      <c r="C5" s="38" t="s">
        <v>12</v>
      </c>
      <c r="D5" s="35"/>
      <c r="E5" s="35"/>
      <c r="F5" s="35"/>
      <c r="G5" s="35"/>
      <c r="H5" s="35"/>
      <c r="I5" s="35"/>
      <c r="J5" s="76"/>
      <c r="M5" s="30">
        <f t="shared" si="0"/>
        <v>0</v>
      </c>
    </row>
    <row r="6" spans="2:13" ht="32.25" customHeight="1" x14ac:dyDescent="0.25">
      <c r="B6" s="75"/>
      <c r="C6" s="36" t="s">
        <v>17</v>
      </c>
      <c r="D6" s="37">
        <f>תקציב!H18</f>
        <v>1000000</v>
      </c>
      <c r="E6" s="37">
        <f>תקציב!I18</f>
        <v>28000000</v>
      </c>
      <c r="F6" s="37">
        <f>תקציב!J18</f>
        <v>0</v>
      </c>
      <c r="G6" s="37">
        <f>תקציב!K18</f>
        <v>5000000</v>
      </c>
      <c r="H6" s="37">
        <f>תקציב!L18</f>
        <v>10000000</v>
      </c>
      <c r="I6" s="37">
        <f>תקציב!M18</f>
        <v>1000000</v>
      </c>
      <c r="J6" s="77">
        <f>תקציב!N18</f>
        <v>12000000</v>
      </c>
      <c r="M6" s="30">
        <f t="shared" si="0"/>
        <v>0</v>
      </c>
    </row>
    <row r="7" spans="2:13" ht="32.25" customHeight="1" x14ac:dyDescent="0.25">
      <c r="B7" s="75"/>
      <c r="C7" s="36" t="s">
        <v>27</v>
      </c>
      <c r="D7" s="37">
        <f>תקציב!H30</f>
        <v>8300000</v>
      </c>
      <c r="E7" s="37">
        <f>תקציב!I30</f>
        <v>1250000</v>
      </c>
      <c r="F7" s="37">
        <f>תקציב!J30</f>
        <v>0</v>
      </c>
      <c r="G7" s="37">
        <f>תקציב!K30</f>
        <v>1200000</v>
      </c>
      <c r="H7" s="37">
        <f>תקציב!L30</f>
        <v>0</v>
      </c>
      <c r="I7" s="37">
        <f>תקציב!M30</f>
        <v>50000</v>
      </c>
      <c r="J7" s="77">
        <f>תקציב!N30</f>
        <v>0</v>
      </c>
      <c r="M7" s="30">
        <f t="shared" si="0"/>
        <v>0</v>
      </c>
    </row>
    <row r="8" spans="2:13" ht="32.25" customHeight="1" x14ac:dyDescent="0.25">
      <c r="B8" s="75"/>
      <c r="C8" s="36" t="s">
        <v>39</v>
      </c>
      <c r="D8" s="37">
        <f>תקציב!H50</f>
        <v>64600000</v>
      </c>
      <c r="E8" s="37">
        <f>תקציב!I50</f>
        <v>53400000</v>
      </c>
      <c r="F8" s="37">
        <f>תקציב!J50</f>
        <v>13500000</v>
      </c>
      <c r="G8" s="37">
        <f>תקציב!K50</f>
        <v>10400000</v>
      </c>
      <c r="H8" s="37">
        <f>תקציב!L50</f>
        <v>28500000</v>
      </c>
      <c r="I8" s="37">
        <f>תקציב!M50</f>
        <v>1000000</v>
      </c>
      <c r="J8" s="77">
        <f>תקציב!N50</f>
        <v>0</v>
      </c>
      <c r="M8" s="30">
        <f t="shared" si="0"/>
        <v>0</v>
      </c>
    </row>
    <row r="9" spans="2:13" ht="32.25" customHeight="1" x14ac:dyDescent="0.25">
      <c r="B9" s="75"/>
      <c r="C9" s="36" t="s">
        <v>42</v>
      </c>
      <c r="D9" s="37">
        <f>תקציב!H54</f>
        <v>0</v>
      </c>
      <c r="E9" s="37">
        <f>תקציב!I54</f>
        <v>2000000</v>
      </c>
      <c r="F9" s="37">
        <f>תקציב!J54</f>
        <v>1450000</v>
      </c>
      <c r="G9" s="37">
        <f>תקציב!K54</f>
        <v>450000</v>
      </c>
      <c r="H9" s="37">
        <f>תקציב!L54</f>
        <v>0</v>
      </c>
      <c r="I9" s="37">
        <f>תקציב!M54</f>
        <v>100000</v>
      </c>
      <c r="J9" s="77">
        <f>תקציב!N54</f>
        <v>0</v>
      </c>
      <c r="M9" s="30">
        <f t="shared" si="0"/>
        <v>0</v>
      </c>
    </row>
    <row r="10" spans="2:13" ht="32.25" customHeight="1" x14ac:dyDescent="0.25">
      <c r="B10" s="75"/>
      <c r="C10" s="36" t="s">
        <v>48</v>
      </c>
      <c r="D10" s="37">
        <f>תקציב!H64</f>
        <v>2950000</v>
      </c>
      <c r="E10" s="37">
        <f>תקציב!I64</f>
        <v>18300000</v>
      </c>
      <c r="F10" s="37">
        <f>תקציב!J64</f>
        <v>8550000</v>
      </c>
      <c r="G10" s="37">
        <f>תקציב!K64</f>
        <v>8550000</v>
      </c>
      <c r="H10" s="37">
        <f>תקציב!L64</f>
        <v>1200000</v>
      </c>
      <c r="I10" s="37">
        <f>תקציב!M64</f>
        <v>0</v>
      </c>
      <c r="J10" s="77">
        <f>תקציב!N64</f>
        <v>0</v>
      </c>
      <c r="M10" s="30">
        <f t="shared" si="0"/>
        <v>0</v>
      </c>
    </row>
    <row r="11" spans="2:13" ht="32.25" customHeight="1" x14ac:dyDescent="0.25">
      <c r="B11" s="75"/>
      <c r="C11" s="36" t="s">
        <v>60</v>
      </c>
      <c r="D11" s="37">
        <f>תקציב!H79</f>
        <v>10950000</v>
      </c>
      <c r="E11" s="37">
        <f>תקציב!I79</f>
        <v>22400000</v>
      </c>
      <c r="F11" s="37">
        <f>תקציב!J79</f>
        <v>20000000</v>
      </c>
      <c r="G11" s="37">
        <f>תקציב!K79</f>
        <v>450000</v>
      </c>
      <c r="H11" s="37">
        <f>תקציב!L79</f>
        <v>0</v>
      </c>
      <c r="I11" s="37">
        <f>תקציב!M79</f>
        <v>0</v>
      </c>
      <c r="J11" s="77">
        <f>תקציב!N79</f>
        <v>1950000</v>
      </c>
      <c r="M11" s="30">
        <f t="shared" si="0"/>
        <v>0</v>
      </c>
    </row>
    <row r="12" spans="2:13" ht="32.25" customHeight="1" x14ac:dyDescent="0.25">
      <c r="B12" s="86">
        <v>2</v>
      </c>
      <c r="C12" s="36" t="s">
        <v>61</v>
      </c>
      <c r="D12" s="37">
        <f>תקציב!H80</f>
        <v>87800000</v>
      </c>
      <c r="E12" s="37">
        <f>תקציב!I80</f>
        <v>125350000</v>
      </c>
      <c r="F12" s="37">
        <f>תקציב!J80</f>
        <v>43500000</v>
      </c>
      <c r="G12" s="37">
        <f>תקציב!K80</f>
        <v>26050000</v>
      </c>
      <c r="H12" s="37">
        <f>תקציב!L80</f>
        <v>39700000</v>
      </c>
      <c r="I12" s="37">
        <f>תקציב!M80</f>
        <v>2150000</v>
      </c>
      <c r="J12" s="77">
        <f>תקציב!N80</f>
        <v>13950000</v>
      </c>
      <c r="M12" s="30">
        <f t="shared" si="0"/>
        <v>0</v>
      </c>
    </row>
    <row r="13" spans="2:13" ht="32.25" customHeight="1" x14ac:dyDescent="0.25">
      <c r="B13" s="75"/>
      <c r="C13" s="38" t="s">
        <v>62</v>
      </c>
      <c r="D13" s="35"/>
      <c r="E13" s="35"/>
      <c r="F13" s="35"/>
      <c r="G13" s="35"/>
      <c r="H13" s="35"/>
      <c r="I13" s="35"/>
      <c r="J13" s="76"/>
      <c r="M13" s="30">
        <f t="shared" si="0"/>
        <v>0</v>
      </c>
    </row>
    <row r="14" spans="2:13" ht="32.25" customHeight="1" x14ac:dyDescent="0.25">
      <c r="B14" s="75"/>
      <c r="C14" s="36" t="s">
        <v>69</v>
      </c>
      <c r="D14" s="37">
        <f>תקציב!H90</f>
        <v>2000000</v>
      </c>
      <c r="E14" s="37">
        <f>תקציב!I90</f>
        <v>24400000</v>
      </c>
      <c r="F14" s="37">
        <f>תקציב!J90</f>
        <v>20500000</v>
      </c>
      <c r="G14" s="37">
        <f>תקציב!K90</f>
        <v>0</v>
      </c>
      <c r="H14" s="37">
        <f>תקציב!L90</f>
        <v>0</v>
      </c>
      <c r="I14" s="37">
        <f>תקציב!M90</f>
        <v>2050000</v>
      </c>
      <c r="J14" s="77">
        <f>תקציב!N90</f>
        <v>1850000</v>
      </c>
      <c r="M14" s="30">
        <f t="shared" si="0"/>
        <v>0</v>
      </c>
    </row>
    <row r="15" spans="2:13" ht="32.25" customHeight="1" x14ac:dyDescent="0.25">
      <c r="B15" s="75"/>
      <c r="C15" s="36" t="s">
        <v>77</v>
      </c>
      <c r="D15" s="37">
        <f>תקציב!H103</f>
        <v>700000</v>
      </c>
      <c r="E15" s="37">
        <f>תקציב!I103</f>
        <v>6820000</v>
      </c>
      <c r="F15" s="37">
        <f>תקציב!J103</f>
        <v>1000000</v>
      </c>
      <c r="G15" s="37">
        <f>תקציב!K103</f>
        <v>0</v>
      </c>
      <c r="H15" s="37">
        <f>תקציב!L103</f>
        <v>0</v>
      </c>
      <c r="I15" s="37">
        <f>תקציב!M103</f>
        <v>995000</v>
      </c>
      <c r="J15" s="77">
        <f>תקציב!N103</f>
        <v>4825000</v>
      </c>
      <c r="M15" s="30">
        <f t="shared" si="0"/>
        <v>0</v>
      </c>
    </row>
    <row r="16" spans="2:13" ht="32.25" customHeight="1" x14ac:dyDescent="0.25">
      <c r="B16" s="75"/>
      <c r="C16" s="36" t="s">
        <v>92</v>
      </c>
      <c r="D16" s="37">
        <f>תקציב!H128</f>
        <v>1550000</v>
      </c>
      <c r="E16" s="37">
        <f>תקציב!I128</f>
        <v>25060000</v>
      </c>
      <c r="F16" s="37">
        <f>תקציב!J128</f>
        <v>6850000</v>
      </c>
      <c r="G16" s="37">
        <f>תקציב!K128</f>
        <v>5000000</v>
      </c>
      <c r="H16" s="37">
        <f>תקציב!L128</f>
        <v>0</v>
      </c>
      <c r="I16" s="37">
        <f>תקציב!M128</f>
        <v>5460000</v>
      </c>
      <c r="J16" s="77">
        <f>תקציב!N128</f>
        <v>7750000</v>
      </c>
      <c r="M16" s="30">
        <f t="shared" si="0"/>
        <v>0</v>
      </c>
    </row>
    <row r="17" spans="2:13" ht="32.25" customHeight="1" x14ac:dyDescent="0.25">
      <c r="B17" s="75"/>
      <c r="C17" s="36" t="s">
        <v>98</v>
      </c>
      <c r="D17" s="37">
        <f>תקציב!H136</f>
        <v>550000</v>
      </c>
      <c r="E17" s="37">
        <f>תקציב!I136</f>
        <v>2650000</v>
      </c>
      <c r="F17" s="37">
        <f>תקציב!J136</f>
        <v>550000</v>
      </c>
      <c r="G17" s="37">
        <f>תקציב!K136</f>
        <v>0</v>
      </c>
      <c r="H17" s="37">
        <f>תקציב!L136</f>
        <v>0</v>
      </c>
      <c r="I17" s="37">
        <f>תקציב!M136</f>
        <v>2100000</v>
      </c>
      <c r="J17" s="77">
        <f>תקציב!N136</f>
        <v>0</v>
      </c>
      <c r="M17" s="30">
        <f t="shared" si="0"/>
        <v>0</v>
      </c>
    </row>
    <row r="18" spans="2:13" ht="32.25" customHeight="1" x14ac:dyDescent="0.25">
      <c r="B18" s="75"/>
      <c r="C18" s="36" t="s">
        <v>100</v>
      </c>
      <c r="D18" s="37">
        <f>תקציב!H139</f>
        <v>0</v>
      </c>
      <c r="E18" s="37">
        <f>תקציב!I139</f>
        <v>200000</v>
      </c>
      <c r="F18" s="37">
        <f>תקציב!J139</f>
        <v>100000</v>
      </c>
      <c r="G18" s="37">
        <f>תקציב!K139</f>
        <v>0</v>
      </c>
      <c r="H18" s="37">
        <f>תקציב!L139</f>
        <v>0</v>
      </c>
      <c r="I18" s="37">
        <f>תקציב!M139</f>
        <v>0</v>
      </c>
      <c r="J18" s="77">
        <f>תקציב!N139</f>
        <v>100000</v>
      </c>
      <c r="M18" s="30">
        <f t="shared" si="0"/>
        <v>0</v>
      </c>
    </row>
    <row r="19" spans="2:13" ht="32.25" customHeight="1" x14ac:dyDescent="0.25">
      <c r="B19" s="75"/>
      <c r="C19" s="36" t="s">
        <v>104</v>
      </c>
      <c r="D19" s="37">
        <f>תקציב!H144</f>
        <v>0</v>
      </c>
      <c r="E19" s="37">
        <f>תקציב!I144</f>
        <v>570000</v>
      </c>
      <c r="F19" s="37">
        <f>תקציב!J144</f>
        <v>250000</v>
      </c>
      <c r="G19" s="37">
        <f>תקציב!K144</f>
        <v>0</v>
      </c>
      <c r="H19" s="37">
        <f>תקציב!L144</f>
        <v>0</v>
      </c>
      <c r="I19" s="37">
        <f>תקציב!M144</f>
        <v>320000</v>
      </c>
      <c r="J19" s="77">
        <f>תקציב!N144</f>
        <v>0</v>
      </c>
      <c r="M19" s="30">
        <f t="shared" si="0"/>
        <v>0</v>
      </c>
    </row>
    <row r="20" spans="2:13" ht="32.25" customHeight="1" x14ac:dyDescent="0.25">
      <c r="B20" s="75"/>
      <c r="C20" s="36" t="s">
        <v>109</v>
      </c>
      <c r="D20" s="37">
        <f>תקציב!H151</f>
        <v>50000</v>
      </c>
      <c r="E20" s="37">
        <f>תקציב!I151</f>
        <v>4520000</v>
      </c>
      <c r="F20" s="37">
        <f>תקציב!J151</f>
        <v>3190000</v>
      </c>
      <c r="G20" s="37">
        <f>תקציב!K151</f>
        <v>0</v>
      </c>
      <c r="H20" s="37">
        <f>תקציב!L151</f>
        <v>0</v>
      </c>
      <c r="I20" s="37">
        <f>תקציב!M151</f>
        <v>1330000</v>
      </c>
      <c r="J20" s="77">
        <f>תקציב!N151</f>
        <v>0</v>
      </c>
      <c r="M20" s="30">
        <f t="shared" si="0"/>
        <v>0</v>
      </c>
    </row>
    <row r="21" spans="2:13" ht="32.25" customHeight="1" x14ac:dyDescent="0.25">
      <c r="B21" s="75"/>
      <c r="C21" s="36" t="s">
        <v>115</v>
      </c>
      <c r="D21" s="37">
        <f>תקציב!H175</f>
        <v>12740000</v>
      </c>
      <c r="E21" s="37">
        <f>תקציב!I175</f>
        <v>4950000</v>
      </c>
      <c r="F21" s="37">
        <f>תקציב!J175</f>
        <v>1000000</v>
      </c>
      <c r="G21" s="37">
        <f>תקציב!K175</f>
        <v>0</v>
      </c>
      <c r="H21" s="37">
        <f>תקציב!L175</f>
        <v>0</v>
      </c>
      <c r="I21" s="37">
        <f>תקציב!M175</f>
        <v>2250000</v>
      </c>
      <c r="J21" s="77">
        <f>תקציב!N175</f>
        <v>1700000</v>
      </c>
      <c r="M21" s="30">
        <f t="shared" si="0"/>
        <v>0</v>
      </c>
    </row>
    <row r="22" spans="2:13" ht="32.25" customHeight="1" x14ac:dyDescent="0.25">
      <c r="B22" s="75"/>
      <c r="C22" s="36" t="s">
        <v>119</v>
      </c>
      <c r="D22" s="37">
        <f>תקציב!H182</f>
        <v>940000</v>
      </c>
      <c r="E22" s="37">
        <f>תקציב!I182</f>
        <v>1350000</v>
      </c>
      <c r="F22" s="37">
        <f>תקציב!J182</f>
        <v>0</v>
      </c>
      <c r="G22" s="37">
        <f>תקציב!K182</f>
        <v>0</v>
      </c>
      <c r="H22" s="37">
        <f>תקציב!L182</f>
        <v>0</v>
      </c>
      <c r="I22" s="37">
        <f>תקציב!M182</f>
        <v>300000</v>
      </c>
      <c r="J22" s="77">
        <f>תקציב!N182</f>
        <v>1050000</v>
      </c>
      <c r="M22" s="30">
        <f t="shared" si="0"/>
        <v>0</v>
      </c>
    </row>
    <row r="23" spans="2:13" ht="32.25" customHeight="1" x14ac:dyDescent="0.25">
      <c r="B23" s="86">
        <v>3</v>
      </c>
      <c r="C23" s="36" t="s">
        <v>120</v>
      </c>
      <c r="D23" s="37">
        <f>תקציב!H183</f>
        <v>18530000</v>
      </c>
      <c r="E23" s="37">
        <f>תקציב!I183</f>
        <v>70520000</v>
      </c>
      <c r="F23" s="37">
        <f>תקציב!J183</f>
        <v>33440000</v>
      </c>
      <c r="G23" s="37">
        <f>תקציב!K183</f>
        <v>5000000</v>
      </c>
      <c r="H23" s="37">
        <f>תקציב!L183</f>
        <v>0</v>
      </c>
      <c r="I23" s="37">
        <f>תקציב!M183</f>
        <v>14805000</v>
      </c>
      <c r="J23" s="77">
        <f>תקציב!N183</f>
        <v>17275000</v>
      </c>
      <c r="M23" s="30">
        <f t="shared" si="0"/>
        <v>0</v>
      </c>
    </row>
    <row r="24" spans="2:13" s="39" customFormat="1" ht="32.25" customHeight="1" x14ac:dyDescent="0.25">
      <c r="B24" s="75"/>
      <c r="C24" s="38" t="s">
        <v>121</v>
      </c>
      <c r="D24" s="35"/>
      <c r="E24" s="35"/>
      <c r="F24" s="35"/>
      <c r="G24" s="35"/>
      <c r="H24" s="35"/>
      <c r="I24" s="35"/>
      <c r="J24" s="76"/>
      <c r="M24" s="40">
        <f t="shared" si="0"/>
        <v>0</v>
      </c>
    </row>
    <row r="25" spans="2:13" ht="32.25" customHeight="1" x14ac:dyDescent="0.25">
      <c r="B25" s="75"/>
      <c r="C25" s="36" t="s">
        <v>126</v>
      </c>
      <c r="D25" s="37">
        <f>תקציב!H192</f>
        <v>7500000</v>
      </c>
      <c r="E25" s="37">
        <f>תקציב!I192</f>
        <v>4185000</v>
      </c>
      <c r="F25" s="37">
        <f>תקציב!J192</f>
        <v>1300000</v>
      </c>
      <c r="G25" s="37">
        <f>תקציב!K192</f>
        <v>200000</v>
      </c>
      <c r="H25" s="37">
        <f>תקציב!L192</f>
        <v>30000</v>
      </c>
      <c r="I25" s="37">
        <f>תקציב!M192</f>
        <v>255000</v>
      </c>
      <c r="J25" s="77">
        <f>תקציב!N192</f>
        <v>2400000</v>
      </c>
      <c r="M25" s="30">
        <f t="shared" si="0"/>
        <v>0</v>
      </c>
    </row>
    <row r="26" spans="2:13" ht="32.25" customHeight="1" x14ac:dyDescent="0.25">
      <c r="B26" s="75"/>
      <c r="C26" s="36" t="s">
        <v>139</v>
      </c>
      <c r="D26" s="37">
        <f>תקציב!H223</f>
        <v>10466000</v>
      </c>
      <c r="E26" s="37">
        <f>תקציב!I223</f>
        <v>61620000</v>
      </c>
      <c r="F26" s="37">
        <f>תקציב!J223</f>
        <v>0</v>
      </c>
      <c r="G26" s="37">
        <f>תקציב!K223</f>
        <v>0</v>
      </c>
      <c r="H26" s="37">
        <f>תקציב!L223</f>
        <v>0</v>
      </c>
      <c r="I26" s="37">
        <f>תקציב!M223</f>
        <v>61520000</v>
      </c>
      <c r="J26" s="77">
        <f>תקציב!N223</f>
        <v>100000</v>
      </c>
      <c r="M26" s="30">
        <f t="shared" si="0"/>
        <v>0</v>
      </c>
    </row>
    <row r="27" spans="2:13" ht="32.25" customHeight="1" x14ac:dyDescent="0.25">
      <c r="B27" s="75"/>
      <c r="C27" s="36" t="s">
        <v>145</v>
      </c>
      <c r="D27" s="37">
        <f>תקציב!H231</f>
        <v>350000</v>
      </c>
      <c r="E27" s="37">
        <f>תקציב!I231</f>
        <v>1145000</v>
      </c>
      <c r="F27" s="37">
        <f>תקציב!J231</f>
        <v>150000</v>
      </c>
      <c r="G27" s="37">
        <f>תקציב!K231</f>
        <v>0</v>
      </c>
      <c r="H27" s="37">
        <f>תקציב!L231</f>
        <v>0</v>
      </c>
      <c r="I27" s="37">
        <f>תקציב!M231</f>
        <v>995000</v>
      </c>
      <c r="J27" s="77">
        <f>תקציב!N231</f>
        <v>0</v>
      </c>
      <c r="M27" s="30">
        <f t="shared" si="0"/>
        <v>0</v>
      </c>
    </row>
    <row r="28" spans="2:13" ht="32.25" customHeight="1" x14ac:dyDescent="0.25">
      <c r="B28" s="75"/>
      <c r="C28" s="36" t="s">
        <v>166</v>
      </c>
      <c r="D28" s="37">
        <f>תקציב!H262</f>
        <v>35737611</v>
      </c>
      <c r="E28" s="37">
        <f>תקציב!I262</f>
        <v>88755000</v>
      </c>
      <c r="F28" s="37">
        <f>תקציב!J262</f>
        <v>0</v>
      </c>
      <c r="G28" s="37">
        <f>תקציב!K262</f>
        <v>22905000</v>
      </c>
      <c r="H28" s="37">
        <f>תקציב!L262</f>
        <v>58585000</v>
      </c>
      <c r="I28" s="37">
        <f>תקציב!M262</f>
        <v>7265000</v>
      </c>
      <c r="J28" s="77">
        <f>תקציב!N262</f>
        <v>0</v>
      </c>
      <c r="M28" s="30">
        <f t="shared" si="0"/>
        <v>0</v>
      </c>
    </row>
    <row r="29" spans="2:13" ht="32.25" customHeight="1" x14ac:dyDescent="0.25">
      <c r="B29" s="75"/>
      <c r="C29" s="36" t="s">
        <v>169</v>
      </c>
      <c r="D29" s="37">
        <f>תקציב!H266</f>
        <v>2275000</v>
      </c>
      <c r="E29" s="37">
        <f>תקציב!I266</f>
        <v>4050000</v>
      </c>
      <c r="F29" s="37">
        <f>תקציב!J266</f>
        <v>1500000</v>
      </c>
      <c r="G29" s="37">
        <f>תקציב!K266</f>
        <v>1000000</v>
      </c>
      <c r="H29" s="37">
        <f>תקציב!L266</f>
        <v>1500000</v>
      </c>
      <c r="I29" s="37">
        <f>תקציב!M266</f>
        <v>50000</v>
      </c>
      <c r="J29" s="77">
        <f>תקציב!N266</f>
        <v>0</v>
      </c>
      <c r="M29" s="30">
        <f t="shared" si="0"/>
        <v>0</v>
      </c>
    </row>
    <row r="30" spans="2:13" ht="32.25" customHeight="1" x14ac:dyDescent="0.25">
      <c r="B30" s="75"/>
      <c r="C30" s="36" t="s">
        <v>179</v>
      </c>
      <c r="D30" s="37">
        <f>תקציב!H279</f>
        <v>1003501</v>
      </c>
      <c r="E30" s="37">
        <f>תקציב!I279</f>
        <v>4310000</v>
      </c>
      <c r="F30" s="37">
        <f>תקציב!J279</f>
        <v>0</v>
      </c>
      <c r="G30" s="37">
        <f>תקציב!K279</f>
        <v>0</v>
      </c>
      <c r="H30" s="37">
        <f>תקציב!L279</f>
        <v>0</v>
      </c>
      <c r="I30" s="37">
        <f>תקציב!M279</f>
        <v>4310000</v>
      </c>
      <c r="J30" s="77">
        <f>תקציב!N279</f>
        <v>0</v>
      </c>
      <c r="M30" s="30">
        <f t="shared" si="0"/>
        <v>0</v>
      </c>
    </row>
    <row r="31" spans="2:13" ht="32.25" customHeight="1" x14ac:dyDescent="0.25">
      <c r="B31" s="75"/>
      <c r="C31" s="36" t="s">
        <v>193</v>
      </c>
      <c r="D31" s="37">
        <f>תקציב!H318</f>
        <v>28074045</v>
      </c>
      <c r="E31" s="37">
        <f>תקציב!I318</f>
        <v>22000000</v>
      </c>
      <c r="F31" s="37">
        <f>תקציב!J318</f>
        <v>200000</v>
      </c>
      <c r="G31" s="37">
        <f>תקציב!K318</f>
        <v>0</v>
      </c>
      <c r="H31" s="37">
        <f>תקציב!L318</f>
        <v>10550000</v>
      </c>
      <c r="I31" s="37">
        <f>תקציב!M318</f>
        <v>11250000</v>
      </c>
      <c r="J31" s="77">
        <f>תקציב!N318</f>
        <v>0</v>
      </c>
      <c r="M31" s="30">
        <f t="shared" si="0"/>
        <v>0</v>
      </c>
    </row>
    <row r="32" spans="2:13" ht="32.25" customHeight="1" x14ac:dyDescent="0.25">
      <c r="B32" s="75"/>
      <c r="C32" s="36" t="s">
        <v>203</v>
      </c>
      <c r="D32" s="37">
        <f>תקציב!H331</f>
        <v>560000</v>
      </c>
      <c r="E32" s="37">
        <f>תקציב!I331</f>
        <v>6840000</v>
      </c>
      <c r="F32" s="37">
        <f>תקציב!J331</f>
        <v>0</v>
      </c>
      <c r="G32" s="37">
        <f>תקציב!K331</f>
        <v>0</v>
      </c>
      <c r="H32" s="37">
        <f>תקציב!L331</f>
        <v>5145000</v>
      </c>
      <c r="I32" s="37">
        <f>תקציב!M331</f>
        <v>1695000</v>
      </c>
      <c r="J32" s="77">
        <f>תקציב!N331</f>
        <v>0</v>
      </c>
      <c r="M32" s="30">
        <f t="shared" si="0"/>
        <v>0</v>
      </c>
    </row>
    <row r="33" spans="2:13" ht="32.25" customHeight="1" x14ac:dyDescent="0.25">
      <c r="B33" s="75"/>
      <c r="C33" s="36" t="s">
        <v>205</v>
      </c>
      <c r="D33" s="37">
        <f>תקציב!H334</f>
        <v>359000</v>
      </c>
      <c r="E33" s="37">
        <f>תקציב!I334</f>
        <v>200000</v>
      </c>
      <c r="F33" s="37">
        <f>תקציב!J334</f>
        <v>0</v>
      </c>
      <c r="G33" s="37">
        <f>תקציב!K334</f>
        <v>0</v>
      </c>
      <c r="H33" s="37">
        <f>תקציב!L334</f>
        <v>0</v>
      </c>
      <c r="I33" s="37">
        <f>תקציב!M334</f>
        <v>0</v>
      </c>
      <c r="J33" s="77">
        <f>תקציב!N334</f>
        <v>200000</v>
      </c>
      <c r="M33" s="30">
        <f t="shared" si="0"/>
        <v>0</v>
      </c>
    </row>
    <row r="34" spans="2:13" ht="32.25" customHeight="1" x14ac:dyDescent="0.25">
      <c r="B34" s="75"/>
      <c r="C34" s="36" t="s">
        <v>212</v>
      </c>
      <c r="D34" s="37">
        <f>תקציב!H348</f>
        <v>1365000</v>
      </c>
      <c r="E34" s="37">
        <f>תקציב!I348</f>
        <v>2230000</v>
      </c>
      <c r="F34" s="37">
        <f>תקציב!J348</f>
        <v>360000</v>
      </c>
      <c r="G34" s="37">
        <f>תקציב!K348</f>
        <v>0</v>
      </c>
      <c r="H34" s="37">
        <f>תקציב!L348</f>
        <v>0</v>
      </c>
      <c r="I34" s="37">
        <f>תקציב!M348</f>
        <v>1120000</v>
      </c>
      <c r="J34" s="77">
        <f>תקציב!N348</f>
        <v>750000</v>
      </c>
      <c r="M34" s="30">
        <f t="shared" si="0"/>
        <v>0</v>
      </c>
    </row>
    <row r="35" spans="2:13" ht="32.25" customHeight="1" x14ac:dyDescent="0.25">
      <c r="B35" s="75"/>
      <c r="C35" s="36" t="s">
        <v>218</v>
      </c>
      <c r="D35" s="37">
        <f>תקציב!H356</f>
        <v>1715480</v>
      </c>
      <c r="E35" s="37">
        <f>תקציב!I356</f>
        <v>1600000</v>
      </c>
      <c r="F35" s="37">
        <f>תקציב!J356</f>
        <v>0</v>
      </c>
      <c r="G35" s="37">
        <f>תקציב!K356</f>
        <v>0</v>
      </c>
      <c r="H35" s="37">
        <f>תקציב!L356</f>
        <v>0</v>
      </c>
      <c r="I35" s="37">
        <f>תקציב!M356</f>
        <v>800000</v>
      </c>
      <c r="J35" s="77">
        <f>תקציב!N356</f>
        <v>800000</v>
      </c>
      <c r="M35" s="30">
        <f t="shared" ref="M35:M53" si="1">SUM(F35:J35)-E35</f>
        <v>0</v>
      </c>
    </row>
    <row r="36" spans="2:13" ht="32.25" customHeight="1" x14ac:dyDescent="0.25">
      <c r="B36" s="75"/>
      <c r="C36" s="36" t="s">
        <v>221</v>
      </c>
      <c r="D36" s="37">
        <f>תקציב!H359</f>
        <v>0</v>
      </c>
      <c r="E36" s="37">
        <f>תקציב!I359</f>
        <v>10000</v>
      </c>
      <c r="F36" s="37">
        <f>תקציב!J359</f>
        <v>0</v>
      </c>
      <c r="G36" s="37">
        <f>תקציב!K359</f>
        <v>0</v>
      </c>
      <c r="H36" s="37">
        <f>תקציב!L359</f>
        <v>0</v>
      </c>
      <c r="I36" s="37">
        <f>תקציב!M359</f>
        <v>10000</v>
      </c>
      <c r="J36" s="77">
        <f>תקציב!N359</f>
        <v>0</v>
      </c>
      <c r="M36" s="30">
        <f t="shared" si="1"/>
        <v>0</v>
      </c>
    </row>
    <row r="37" spans="2:13" ht="32.25" customHeight="1" x14ac:dyDescent="0.25">
      <c r="B37" s="75"/>
      <c r="C37" s="36" t="s">
        <v>225</v>
      </c>
      <c r="D37" s="37">
        <f>תקציב!H364</f>
        <v>4650000</v>
      </c>
      <c r="E37" s="37">
        <f>תקציב!I364</f>
        <v>7550000</v>
      </c>
      <c r="F37" s="37">
        <f>תקציב!J364</f>
        <v>5285000</v>
      </c>
      <c r="G37" s="37">
        <f>תקציב!K364</f>
        <v>2265000</v>
      </c>
      <c r="H37" s="37">
        <f>תקציב!L364</f>
        <v>0</v>
      </c>
      <c r="I37" s="37">
        <f>תקציב!M364</f>
        <v>0</v>
      </c>
      <c r="J37" s="77">
        <f>תקציב!N364</f>
        <v>0</v>
      </c>
      <c r="M37" s="30">
        <f t="shared" si="1"/>
        <v>0</v>
      </c>
    </row>
    <row r="38" spans="2:13" ht="32.25" customHeight="1" x14ac:dyDescent="0.25">
      <c r="B38" s="75"/>
      <c r="C38" s="36" t="s">
        <v>227</v>
      </c>
      <c r="D38" s="37">
        <f>תקציב!H369</f>
        <v>115000</v>
      </c>
      <c r="E38" s="37">
        <f>תקציב!I369</f>
        <v>315000</v>
      </c>
      <c r="F38" s="37">
        <f>תקציב!J369</f>
        <v>0</v>
      </c>
      <c r="G38" s="37">
        <f>תקציב!K369</f>
        <v>0</v>
      </c>
      <c r="H38" s="37">
        <f>תקציב!L369</f>
        <v>0</v>
      </c>
      <c r="I38" s="37">
        <f>תקציב!M369</f>
        <v>315000</v>
      </c>
      <c r="J38" s="77">
        <f>תקציב!N369</f>
        <v>0</v>
      </c>
      <c r="M38" s="30">
        <f t="shared" si="1"/>
        <v>0</v>
      </c>
    </row>
    <row r="39" spans="2:13" ht="32.25" customHeight="1" x14ac:dyDescent="0.25">
      <c r="B39" s="86">
        <v>4</v>
      </c>
      <c r="C39" s="36" t="s">
        <v>228</v>
      </c>
      <c r="D39" s="37">
        <f>תקציב!H370</f>
        <v>94170637</v>
      </c>
      <c r="E39" s="37">
        <f>תקציב!I370</f>
        <v>204810000</v>
      </c>
      <c r="F39" s="37">
        <f>תקציב!J370</f>
        <v>8795000</v>
      </c>
      <c r="G39" s="37">
        <f>תקציב!K370</f>
        <v>26370000</v>
      </c>
      <c r="H39" s="37">
        <f>תקציב!L370</f>
        <v>75810000</v>
      </c>
      <c r="I39" s="37">
        <f>תקציב!M370</f>
        <v>89585000</v>
      </c>
      <c r="J39" s="77">
        <f>תקציב!N370</f>
        <v>4250000</v>
      </c>
      <c r="M39" s="30">
        <f t="shared" si="1"/>
        <v>0</v>
      </c>
    </row>
    <row r="40" spans="2:13" s="39" customFormat="1" ht="32.25" customHeight="1" x14ac:dyDescent="0.25">
      <c r="B40" s="75"/>
      <c r="C40" s="38" t="s">
        <v>229</v>
      </c>
      <c r="D40" s="35"/>
      <c r="E40" s="35"/>
      <c r="F40" s="35"/>
      <c r="G40" s="35"/>
      <c r="H40" s="35"/>
      <c r="I40" s="35"/>
      <c r="J40" s="76"/>
      <c r="M40" s="40">
        <f t="shared" si="1"/>
        <v>0</v>
      </c>
    </row>
    <row r="41" spans="2:13" ht="32.25" customHeight="1" x14ac:dyDescent="0.25">
      <c r="B41" s="75"/>
      <c r="C41" s="36" t="s">
        <v>235</v>
      </c>
      <c r="D41" s="37">
        <f>תקציב!H380</f>
        <v>3975000</v>
      </c>
      <c r="E41" s="37">
        <f>תקציב!I380</f>
        <v>1475000</v>
      </c>
      <c r="F41" s="37">
        <f>תקציב!J380</f>
        <v>0</v>
      </c>
      <c r="G41" s="37">
        <f>תקציב!K380</f>
        <v>0</v>
      </c>
      <c r="H41" s="37">
        <f>תקציב!L380</f>
        <v>0</v>
      </c>
      <c r="I41" s="37">
        <f>תקציב!M380</f>
        <v>0</v>
      </c>
      <c r="J41" s="77">
        <f>תקציב!N380</f>
        <v>1475000</v>
      </c>
      <c r="M41" s="30">
        <f t="shared" si="1"/>
        <v>0</v>
      </c>
    </row>
    <row r="42" spans="2:13" ht="32.25" customHeight="1" x14ac:dyDescent="0.25">
      <c r="B42" s="75"/>
      <c r="C42" s="36" t="s">
        <v>247</v>
      </c>
      <c r="D42" s="37">
        <f>תקציב!H392</f>
        <v>17105000</v>
      </c>
      <c r="E42" s="37">
        <f>תקציב!I392</f>
        <v>3630000</v>
      </c>
      <c r="F42" s="37">
        <f>תקציב!J392</f>
        <v>0</v>
      </c>
      <c r="G42" s="37">
        <f>תקציב!K392</f>
        <v>0</v>
      </c>
      <c r="H42" s="37">
        <f>תקציב!L392</f>
        <v>0</v>
      </c>
      <c r="I42" s="37">
        <f>תקציב!M392</f>
        <v>600000</v>
      </c>
      <c r="J42" s="77">
        <f>תקציב!N392</f>
        <v>3030000</v>
      </c>
      <c r="M42" s="30">
        <f t="shared" si="1"/>
        <v>0</v>
      </c>
    </row>
    <row r="43" spans="2:13" ht="32.25" customHeight="1" x14ac:dyDescent="0.25">
      <c r="B43" s="75"/>
      <c r="C43" s="36" t="s">
        <v>252</v>
      </c>
      <c r="D43" s="37">
        <f>תקציב!H401</f>
        <v>5386000</v>
      </c>
      <c r="E43" s="37">
        <f>תקציב!I401</f>
        <v>7730000</v>
      </c>
      <c r="F43" s="37">
        <f>תקציב!J401</f>
        <v>3500000</v>
      </c>
      <c r="G43" s="37">
        <f>תקציב!K401</f>
        <v>2105000</v>
      </c>
      <c r="H43" s="37">
        <f>תקציב!L401</f>
        <v>0</v>
      </c>
      <c r="I43" s="37">
        <f>תקציב!M401</f>
        <v>1625000</v>
      </c>
      <c r="J43" s="77">
        <f>תקציב!N401</f>
        <v>500000</v>
      </c>
      <c r="M43" s="30">
        <f t="shared" si="1"/>
        <v>0</v>
      </c>
    </row>
    <row r="44" spans="2:13" ht="32.25" customHeight="1" x14ac:dyDescent="0.25">
      <c r="B44" s="86">
        <v>5</v>
      </c>
      <c r="C44" s="36" t="s">
        <v>253</v>
      </c>
      <c r="D44" s="37">
        <f>תקציב!H402</f>
        <v>26466000</v>
      </c>
      <c r="E44" s="37">
        <f>תקציב!I402</f>
        <v>12835000</v>
      </c>
      <c r="F44" s="37">
        <f>תקציב!J402</f>
        <v>3500000</v>
      </c>
      <c r="G44" s="37">
        <f>תקציב!K402</f>
        <v>2105000</v>
      </c>
      <c r="H44" s="37">
        <f>תקציב!L402</f>
        <v>0</v>
      </c>
      <c r="I44" s="37">
        <f>תקציב!M402</f>
        <v>2225000</v>
      </c>
      <c r="J44" s="77">
        <f>תקציב!N402</f>
        <v>5005000</v>
      </c>
      <c r="M44" s="30">
        <f t="shared" si="1"/>
        <v>0</v>
      </c>
    </row>
    <row r="45" spans="2:13" ht="32.25" customHeight="1" x14ac:dyDescent="0.25">
      <c r="B45" s="86">
        <v>6</v>
      </c>
      <c r="C45" s="36" t="s">
        <v>258</v>
      </c>
      <c r="D45" s="37">
        <f>תקציב!H407</f>
        <v>900000</v>
      </c>
      <c r="E45" s="37">
        <f>תקציב!I407</f>
        <v>1350000</v>
      </c>
      <c r="F45" s="37">
        <f>תקציב!J407</f>
        <v>0</v>
      </c>
      <c r="G45" s="37">
        <f>תקציב!K407</f>
        <v>0</v>
      </c>
      <c r="H45" s="37">
        <f>תקציב!L407</f>
        <v>0</v>
      </c>
      <c r="I45" s="37">
        <f>תקציב!M407</f>
        <v>1350000</v>
      </c>
      <c r="J45" s="77">
        <f>תקציב!N407</f>
        <v>0</v>
      </c>
      <c r="M45" s="30">
        <f t="shared" si="1"/>
        <v>0</v>
      </c>
    </row>
    <row r="46" spans="2:13" ht="32.25" customHeight="1" x14ac:dyDescent="0.25">
      <c r="B46" s="86">
        <v>7</v>
      </c>
      <c r="C46" s="36" t="s">
        <v>266</v>
      </c>
      <c r="D46" s="37">
        <f>תקציב!H423</f>
        <v>1200000</v>
      </c>
      <c r="E46" s="37">
        <f>תקציב!I423</f>
        <v>12240000</v>
      </c>
      <c r="F46" s="37">
        <f>תקציב!J423</f>
        <v>1500000</v>
      </c>
      <c r="G46" s="37">
        <f>תקציב!K423</f>
        <v>200000</v>
      </c>
      <c r="H46" s="37">
        <f>תקציב!L423</f>
        <v>0</v>
      </c>
      <c r="I46" s="37">
        <f>תקציב!M423</f>
        <v>3465000</v>
      </c>
      <c r="J46" s="77">
        <f>תקציב!N423</f>
        <v>7075000</v>
      </c>
      <c r="M46" s="30">
        <f t="shared" si="1"/>
        <v>0</v>
      </c>
    </row>
    <row r="47" spans="2:13" s="39" customFormat="1" ht="32.25" customHeight="1" x14ac:dyDescent="0.25">
      <c r="B47" s="75"/>
      <c r="C47" s="38" t="s">
        <v>341</v>
      </c>
      <c r="D47" s="35"/>
      <c r="E47" s="35"/>
      <c r="F47" s="35"/>
      <c r="G47" s="35"/>
      <c r="H47" s="35"/>
      <c r="I47" s="35"/>
      <c r="J47" s="76"/>
      <c r="M47" s="40">
        <f t="shared" si="1"/>
        <v>0</v>
      </c>
    </row>
    <row r="48" spans="2:13" ht="32.25" customHeight="1" x14ac:dyDescent="0.25">
      <c r="B48" s="75"/>
      <c r="C48" s="36" t="s">
        <v>277</v>
      </c>
      <c r="D48" s="37">
        <f>תקציב!H441</f>
        <v>0</v>
      </c>
      <c r="E48" s="37">
        <f>תקציב!I441</f>
        <v>387900000</v>
      </c>
      <c r="F48" s="37">
        <f>תקציב!J441</f>
        <v>379635000</v>
      </c>
      <c r="G48" s="37">
        <f>תקציב!K441</f>
        <v>8265000</v>
      </c>
      <c r="H48" s="37">
        <f>תקציב!L441</f>
        <v>0</v>
      </c>
      <c r="I48" s="37">
        <f>תקציב!M441</f>
        <v>0</v>
      </c>
      <c r="J48" s="77">
        <f>תקציב!N441</f>
        <v>0</v>
      </c>
      <c r="M48" s="30">
        <f t="shared" si="1"/>
        <v>0</v>
      </c>
    </row>
    <row r="49" spans="2:13" ht="32.25" customHeight="1" x14ac:dyDescent="0.25">
      <c r="B49" s="75"/>
      <c r="C49" s="36" t="s">
        <v>280</v>
      </c>
      <c r="D49" s="37">
        <f>תקציב!H452</f>
        <v>0</v>
      </c>
      <c r="E49" s="37">
        <f>תקציב!I452</f>
        <v>43640000</v>
      </c>
      <c r="F49" s="37">
        <f>תקציב!J452</f>
        <v>38800000</v>
      </c>
      <c r="G49" s="37">
        <f>תקציב!K452</f>
        <v>0</v>
      </c>
      <c r="H49" s="37">
        <f>תקציב!L452</f>
        <v>0</v>
      </c>
      <c r="I49" s="37">
        <f>תקציב!M452</f>
        <v>0</v>
      </c>
      <c r="J49" s="77">
        <f>תקציב!N452</f>
        <v>4840000</v>
      </c>
      <c r="M49" s="30">
        <f t="shared" si="1"/>
        <v>0</v>
      </c>
    </row>
    <row r="50" spans="2:13" ht="32.25" customHeight="1" x14ac:dyDescent="0.25">
      <c r="B50" s="75"/>
      <c r="C50" s="36" t="s">
        <v>282</v>
      </c>
      <c r="D50" s="37">
        <f>תקציב!H471</f>
        <v>33400000</v>
      </c>
      <c r="E50" s="37">
        <f>תקציב!I471</f>
        <v>65100000</v>
      </c>
      <c r="F50" s="37">
        <f>תקציב!J471</f>
        <v>55610000</v>
      </c>
      <c r="G50" s="37">
        <f>תקציב!K471</f>
        <v>0</v>
      </c>
      <c r="H50" s="37">
        <f>תקציב!L471</f>
        <v>0</v>
      </c>
      <c r="I50" s="37">
        <f>תקציב!M471</f>
        <v>0</v>
      </c>
      <c r="J50" s="77">
        <f>תקציב!N471</f>
        <v>9490000</v>
      </c>
      <c r="M50" s="30">
        <f t="shared" si="1"/>
        <v>0</v>
      </c>
    </row>
    <row r="51" spans="2:13" ht="32.25" customHeight="1" x14ac:dyDescent="0.25">
      <c r="B51" s="86">
        <v>8</v>
      </c>
      <c r="C51" s="36" t="s">
        <v>283</v>
      </c>
      <c r="D51" s="37">
        <f>תקציב!H472</f>
        <v>33400000</v>
      </c>
      <c r="E51" s="37">
        <f>תקציב!I472</f>
        <v>496640000</v>
      </c>
      <c r="F51" s="37">
        <f>תקציב!J472</f>
        <v>474045000</v>
      </c>
      <c r="G51" s="37">
        <f>תקציב!K472</f>
        <v>8265000</v>
      </c>
      <c r="H51" s="37">
        <f>תקציב!L472</f>
        <v>0</v>
      </c>
      <c r="I51" s="37">
        <f>תקציב!M472</f>
        <v>0</v>
      </c>
      <c r="J51" s="77">
        <f>תקציב!N472</f>
        <v>14330000</v>
      </c>
      <c r="M51" s="30">
        <f t="shared" si="1"/>
        <v>0</v>
      </c>
    </row>
    <row r="52" spans="2:13" ht="32.25" customHeight="1" x14ac:dyDescent="0.25">
      <c r="B52" s="86">
        <v>9</v>
      </c>
      <c r="C52" s="36" t="s">
        <v>292</v>
      </c>
      <c r="D52" s="37">
        <f>תקציב!H481</f>
        <v>1830000</v>
      </c>
      <c r="E52" s="37">
        <f>תקציב!I481</f>
        <v>6500000</v>
      </c>
      <c r="F52" s="37">
        <f>תקציב!J481</f>
        <v>0</v>
      </c>
      <c r="G52" s="37">
        <f>תקציב!K481</f>
        <v>80000</v>
      </c>
      <c r="H52" s="37">
        <f>תקציב!L481</f>
        <v>0</v>
      </c>
      <c r="I52" s="37">
        <f>תקציב!M481</f>
        <v>6420000</v>
      </c>
      <c r="J52" s="77">
        <f>תקציב!N481</f>
        <v>0</v>
      </c>
      <c r="M52" s="30">
        <f t="shared" si="1"/>
        <v>0</v>
      </c>
    </row>
    <row r="53" spans="2:13" ht="32.25" customHeight="1" x14ac:dyDescent="0.25">
      <c r="B53" s="81"/>
      <c r="C53" s="82" t="s">
        <v>293</v>
      </c>
      <c r="D53" s="83">
        <f>תקציב!H482</f>
        <v>269256637</v>
      </c>
      <c r="E53" s="83">
        <f>תקציב!I482</f>
        <v>934245000</v>
      </c>
      <c r="F53" s="83">
        <f>תקציב!J482</f>
        <v>564780000</v>
      </c>
      <c r="G53" s="83">
        <f>תקציב!K482</f>
        <v>68070000</v>
      </c>
      <c r="H53" s="83">
        <f>תקציב!L482</f>
        <v>115510000</v>
      </c>
      <c r="I53" s="83">
        <f>תקציב!M482</f>
        <v>120000000</v>
      </c>
      <c r="J53" s="84">
        <f>תקציב!N482</f>
        <v>65885000</v>
      </c>
      <c r="M53" s="30">
        <f t="shared" si="1"/>
        <v>0</v>
      </c>
    </row>
  </sheetData>
  <pageMargins left="0.23622047244094491" right="0.23622047244094491" top="0.74803149606299213" bottom="0.74803149606299213" header="0.31496062992125984" footer="0.31496062992125984"/>
  <pageSetup paperSize="9" firstPageNumber="6" orientation="landscape" useFirstPageNumber="1" r:id="rId1"/>
  <headerFooter>
    <oddFooter>&amp;C&amp;P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2D1E1132721164EAFBD3B0567B7B876" ma:contentTypeVersion="1" ma:contentTypeDescription="צור מסמך חדש." ma:contentTypeScope="" ma:versionID="0073347de3e4af8bb2ac32c9d6a15e5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d0be1c5bbf6cd520794c7c6a47399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366F8C-D347-459A-8EBA-396B4B3494D7}"/>
</file>

<file path=customXml/itemProps2.xml><?xml version="1.0" encoding="utf-8"?>
<ds:datastoreItem xmlns:ds="http://schemas.openxmlformats.org/officeDocument/2006/customXml" ds:itemID="{C8FC4C21-B5F5-454F-AF38-7C8ED34C5E2D}"/>
</file>

<file path=customXml/itemProps3.xml><?xml version="1.0" encoding="utf-8"?>
<ds:datastoreItem xmlns:ds="http://schemas.openxmlformats.org/officeDocument/2006/customXml" ds:itemID="{7BB8B2F7-E71E-472A-9BB5-3D504A899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5</vt:i4>
      </vt:variant>
    </vt:vector>
  </HeadingPairs>
  <TitlesOfParts>
    <vt:vector size="8" baseType="lpstr">
      <vt:lpstr>תקציב</vt:lpstr>
      <vt:lpstr>ריכוזים</vt:lpstr>
      <vt:lpstr>ריכוזי אגפים</vt:lpstr>
      <vt:lpstr>'ריכוזי אגפים'!WPrint_Area_W</vt:lpstr>
      <vt:lpstr>ריכוזים!WPrint_Area_W</vt:lpstr>
      <vt:lpstr>תקציב!WPrint_Area_W</vt:lpstr>
      <vt:lpstr>'ריכוזי אגפים'!WPrint_TitlesW</vt:lpstr>
      <vt:lpstr>תקציב!WPrint_TitlesW</vt:lpstr>
    </vt:vector>
  </TitlesOfParts>
  <Company>Iriat Haifa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פיתוח לשנת 2017</dc:title>
  <dc:creator>timorh</dc:creator>
  <cp:lastModifiedBy>בן דוד דביר</cp:lastModifiedBy>
  <cp:lastPrinted>2017-01-10T13:49:49Z</cp:lastPrinted>
  <dcterms:created xsi:type="dcterms:W3CDTF">2013-09-09T04:10:10Z</dcterms:created>
  <dcterms:modified xsi:type="dcterms:W3CDTF">2017-03-01T06:42:10Z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0x010100C2D1E1132721164EAFBD3B0567B7B876</vt:lpwstr>
  </property>
</Properties>
</file>